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177040" algorithmName="SHA-512" hashValue="xnJjA+GiPoPkWmxlvML7jvL72FRUVjtKty9/GOCZDti4m0OKC8MzBxTqgPdiDLSvGu8mUKkWqG11TMJD79fd1g==" saltValue="AC3OhyDISapkSHt71Lyx9w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ERC\FORMULA RATES\AEP West Transmission Formula Rates\AEP West 2019 Annual Update\Filing 5-28-19 Op Cos\"/>
    </mc:Choice>
  </mc:AlternateContent>
  <bookViews>
    <workbookView xWindow="0" yWindow="0" windowWidth="24000" windowHeight="9000"/>
  </bookViews>
  <sheets>
    <sheet name="PSO Base Plan Refund" sheetId="1" r:id="rId1"/>
    <sheet name="2017 Refund" sheetId="2" r:id="rId2"/>
    <sheet name="2017 Interest Calculation" sheetId="3" r:id="rId3"/>
    <sheet name="Sheet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H31" i="2" l="1"/>
  <c r="G31" i="2"/>
  <c r="H29" i="1"/>
  <c r="F31" i="1"/>
  <c r="B69" i="3"/>
  <c r="B68" i="3"/>
  <c r="B67" i="3"/>
  <c r="B66" i="3"/>
  <c r="B65" i="3"/>
  <c r="B64" i="3"/>
  <c r="B63" i="3"/>
  <c r="B62" i="3"/>
  <c r="B61" i="3"/>
  <c r="B60" i="3"/>
  <c r="B59" i="3"/>
  <c r="B58" i="3"/>
  <c r="B26" i="3"/>
  <c r="B25" i="3"/>
  <c r="B24" i="3"/>
  <c r="B23" i="3"/>
  <c r="B22" i="3"/>
  <c r="B21" i="3"/>
  <c r="H20" i="3"/>
  <c r="F20" i="3"/>
  <c r="B20" i="3"/>
  <c r="J9" i="3"/>
  <c r="B39" i="3" s="1"/>
  <c r="B29" i="3" l="1"/>
  <c r="J20" i="3"/>
  <c r="N20" i="3" s="1"/>
  <c r="H22" i="3" s="1"/>
  <c r="B33" i="3"/>
  <c r="B37" i="3"/>
  <c r="J10" i="3"/>
  <c r="B30" i="3"/>
  <c r="B34" i="3"/>
  <c r="B38" i="3"/>
  <c r="B32" i="3"/>
  <c r="B36" i="3"/>
  <c r="B40" i="3"/>
  <c r="B31" i="3"/>
  <c r="B35" i="3"/>
  <c r="H23" i="3" l="1"/>
  <c r="H21" i="3"/>
  <c r="B53" i="3"/>
  <c r="B49" i="3"/>
  <c r="B45" i="3"/>
  <c r="B54" i="3"/>
  <c r="B50" i="3"/>
  <c r="B46" i="3"/>
  <c r="B51" i="3"/>
  <c r="B47" i="3"/>
  <c r="B43" i="3"/>
  <c r="B52" i="3"/>
  <c r="B48" i="3"/>
  <c r="B44" i="3"/>
  <c r="I16" i="2" l="1"/>
  <c r="J16" i="2" s="1"/>
  <c r="I20" i="2"/>
  <c r="J20" i="2" s="1"/>
  <c r="I19" i="2"/>
  <c r="J19" i="2" s="1"/>
  <c r="I15" i="2"/>
  <c r="J15" i="2" s="1"/>
  <c r="I12" i="2"/>
  <c r="J12" i="2" s="1"/>
  <c r="I11" i="2"/>
  <c r="J11" i="2" s="1"/>
  <c r="I8" i="2"/>
  <c r="J8" i="2" s="1"/>
  <c r="I7" i="2"/>
  <c r="J7" i="2" s="1"/>
  <c r="I22" i="2"/>
  <c r="J22" i="2" s="1"/>
  <c r="I21" i="2"/>
  <c r="J21" i="2" s="1"/>
  <c r="I18" i="2"/>
  <c r="J18" i="2" s="1"/>
  <c r="I17" i="2"/>
  <c r="J17" i="2" s="1"/>
  <c r="I14" i="2"/>
  <c r="J14" i="2" s="1"/>
  <c r="I13" i="2"/>
  <c r="J13" i="2" s="1"/>
  <c r="I10" i="2"/>
  <c r="J10" i="2" s="1"/>
  <c r="I9" i="2"/>
  <c r="J9" i="2" s="1"/>
  <c r="I6" i="2"/>
  <c r="J6" i="2" s="1"/>
  <c r="I5" i="2"/>
  <c r="I31" i="2" l="1"/>
  <c r="J5" i="2"/>
  <c r="J31" i="2" s="1"/>
  <c r="F10" i="3" l="1"/>
  <c r="D23" i="3" s="1"/>
  <c r="D21" i="3"/>
  <c r="D20" i="3"/>
  <c r="F21" i="3" s="1"/>
  <c r="J21" i="3" s="1"/>
  <c r="N21" i="3" s="1"/>
  <c r="D22" i="3"/>
  <c r="D24" i="3"/>
  <c r="D25" i="3"/>
  <c r="P73" i="3"/>
  <c r="D26" i="3"/>
  <c r="R20" i="3" l="1"/>
  <c r="R21" i="3"/>
  <c r="F22" i="3"/>
  <c r="J22" i="3" s="1"/>
  <c r="N22" i="3" s="1"/>
  <c r="R22" i="3" s="1"/>
  <c r="F23" i="3" l="1"/>
  <c r="J23" i="3" s="1"/>
  <c r="N23" i="3" s="1"/>
  <c r="F24" i="3"/>
  <c r="F25" i="3" s="1"/>
  <c r="H26" i="3" l="1"/>
  <c r="H25" i="3"/>
  <c r="J25" i="3" s="1"/>
  <c r="N25" i="3" s="1"/>
  <c r="H24" i="3"/>
  <c r="J24" i="3" s="1"/>
  <c r="N24" i="3" s="1"/>
  <c r="R24" i="3" s="1"/>
  <c r="R23" i="3"/>
  <c r="F26" i="3"/>
  <c r="J26" i="3" l="1"/>
  <c r="N26" i="3" s="1"/>
  <c r="H29" i="3" s="1"/>
  <c r="F29" i="3"/>
  <c r="R25" i="3"/>
  <c r="H31" i="3" l="1"/>
  <c r="H45" i="3"/>
  <c r="H30" i="3"/>
  <c r="J29" i="3"/>
  <c r="N29" i="3" s="1"/>
  <c r="R29" i="3" s="1"/>
  <c r="F30" i="3"/>
  <c r="H44" i="3"/>
  <c r="R26" i="3"/>
  <c r="H43" i="3"/>
  <c r="F31" i="3" l="1"/>
  <c r="J30" i="3"/>
  <c r="N30" i="3" s="1"/>
  <c r="R30" i="3" l="1"/>
  <c r="F32" i="3"/>
  <c r="J31" i="3"/>
  <c r="N31" i="3" s="1"/>
  <c r="H32" i="3" s="1"/>
  <c r="H34" i="3" l="1"/>
  <c r="H48" i="3"/>
  <c r="R31" i="3"/>
  <c r="H47" i="3"/>
  <c r="H46" i="3"/>
  <c r="J32" i="3"/>
  <c r="N32" i="3" s="1"/>
  <c r="R32" i="3" s="1"/>
  <c r="F33" i="3"/>
  <c r="H33" i="3"/>
  <c r="J33" i="3" l="1"/>
  <c r="N33" i="3" s="1"/>
  <c r="F34" i="3"/>
  <c r="F35" i="3" l="1"/>
  <c r="F36" i="3" s="1"/>
  <c r="J34" i="3"/>
  <c r="N34" i="3" s="1"/>
  <c r="H37" i="3" s="1"/>
  <c r="R33" i="3"/>
  <c r="H49" i="3" l="1"/>
  <c r="H51" i="3"/>
  <c r="H36" i="3"/>
  <c r="R34" i="3"/>
  <c r="H35" i="3"/>
  <c r="J35" i="3" s="1"/>
  <c r="N35" i="3" s="1"/>
  <c r="R35" i="3" s="1"/>
  <c r="H50" i="3"/>
  <c r="F37" i="3"/>
  <c r="J36" i="3"/>
  <c r="N36" i="3" s="1"/>
  <c r="R36" i="3" s="1"/>
  <c r="J37" i="3" l="1"/>
  <c r="N37" i="3" s="1"/>
  <c r="F38" i="3"/>
  <c r="F39" i="3" s="1"/>
  <c r="F40" i="3" l="1"/>
  <c r="R37" i="3"/>
  <c r="H54" i="3"/>
  <c r="H40" i="3"/>
  <c r="H39" i="3"/>
  <c r="J39" i="3" s="1"/>
  <c r="N39" i="3" s="1"/>
  <c r="H52" i="3"/>
  <c r="H53" i="3"/>
  <c r="H38" i="3"/>
  <c r="J38" i="3" s="1"/>
  <c r="N38" i="3" s="1"/>
  <c r="R38" i="3" s="1"/>
  <c r="R39" i="3" l="1"/>
  <c r="F58" i="3"/>
  <c r="J40" i="3"/>
  <c r="N40" i="3" s="1"/>
  <c r="H58" i="3" s="1"/>
  <c r="F43" i="3"/>
  <c r="F44" i="3" l="1"/>
  <c r="J43" i="3"/>
  <c r="N43" i="3" s="1"/>
  <c r="R43" i="3" s="1"/>
  <c r="H59" i="3"/>
  <c r="R40" i="3"/>
  <c r="H60" i="3"/>
  <c r="J58" i="3"/>
  <c r="N58" i="3" s="1"/>
  <c r="F59" i="3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P60" i="3" l="1"/>
  <c r="P59" i="3"/>
  <c r="P69" i="3"/>
  <c r="P66" i="3"/>
  <c r="P63" i="3"/>
  <c r="P68" i="3"/>
  <c r="P67" i="3"/>
  <c r="P58" i="3"/>
  <c r="P62" i="3"/>
  <c r="P65" i="3"/>
  <c r="P64" i="3"/>
  <c r="P61" i="3"/>
  <c r="F45" i="3"/>
  <c r="J44" i="3"/>
  <c r="N44" i="3" s="1"/>
  <c r="R44" i="3" s="1"/>
  <c r="P72" i="3" l="1"/>
  <c r="P74" i="3" s="1"/>
  <c r="K31" i="2" s="1"/>
  <c r="F46" i="3"/>
  <c r="J45" i="3"/>
  <c r="N45" i="3" s="1"/>
  <c r="R45" i="3" s="1"/>
  <c r="K26" i="2" l="1"/>
  <c r="L26" i="2" s="1"/>
  <c r="G26" i="1" s="1"/>
  <c r="H26" i="1" s="1"/>
  <c r="K25" i="2"/>
  <c r="L25" i="2" s="1"/>
  <c r="G25" i="1" s="1"/>
  <c r="H25" i="1" s="1"/>
  <c r="K27" i="2"/>
  <c r="L27" i="2" s="1"/>
  <c r="G27" i="1" s="1"/>
  <c r="H27" i="1" s="1"/>
  <c r="K23" i="2"/>
  <c r="L23" i="2" s="1"/>
  <c r="G23" i="1" s="1"/>
  <c r="K28" i="2"/>
  <c r="L28" i="2" s="1"/>
  <c r="G28" i="1" s="1"/>
  <c r="H28" i="1" s="1"/>
  <c r="K24" i="2"/>
  <c r="L24" i="2" s="1"/>
  <c r="G24" i="1" s="1"/>
  <c r="H24" i="1" s="1"/>
  <c r="F47" i="3"/>
  <c r="J46" i="3"/>
  <c r="N46" i="3" s="1"/>
  <c r="R46" i="3" l="1"/>
  <c r="F48" i="3"/>
  <c r="J47" i="3"/>
  <c r="N47" i="3" s="1"/>
  <c r="R47" i="3" s="1"/>
  <c r="J48" i="3" l="1"/>
  <c r="N48" i="3" s="1"/>
  <c r="F49" i="3"/>
  <c r="F50" i="3" l="1"/>
  <c r="J49" i="3"/>
  <c r="N49" i="3" s="1"/>
  <c r="R49" i="3" s="1"/>
  <c r="R48" i="3"/>
  <c r="J50" i="3" l="1"/>
  <c r="N50" i="3" s="1"/>
  <c r="R50" i="3" s="1"/>
  <c r="F51" i="3"/>
  <c r="J51" i="3" l="1"/>
  <c r="N51" i="3" s="1"/>
  <c r="R51" i="3" s="1"/>
  <c r="F52" i="3"/>
  <c r="J52" i="3" l="1"/>
  <c r="N52" i="3" s="1"/>
  <c r="R52" i="3" s="1"/>
  <c r="F53" i="3"/>
  <c r="J53" i="3" l="1"/>
  <c r="N53" i="3" s="1"/>
  <c r="R53" i="3" s="1"/>
  <c r="F54" i="3"/>
  <c r="J54" i="3" s="1"/>
  <c r="N54" i="3" s="1"/>
  <c r="R54" i="3" l="1"/>
  <c r="R58" i="3"/>
  <c r="J59" i="3" s="1"/>
  <c r="N59" i="3" s="1"/>
  <c r="R59" i="3" l="1"/>
  <c r="J60" i="3" s="1"/>
  <c r="N60" i="3" s="1"/>
  <c r="R60" i="3" s="1"/>
  <c r="J61" i="3" s="1"/>
  <c r="N61" i="3" s="1"/>
  <c r="R61" i="3" s="1"/>
  <c r="J62" i="3" s="1"/>
  <c r="N62" i="3" s="1"/>
  <c r="R62" i="3" s="1"/>
  <c r="J63" i="3" s="1"/>
  <c r="N63" i="3" s="1"/>
  <c r="R63" i="3" s="1"/>
  <c r="J64" i="3" s="1"/>
  <c r="N64" i="3" s="1"/>
  <c r="R64" i="3" s="1"/>
  <c r="J65" i="3" s="1"/>
  <c r="N65" i="3" s="1"/>
  <c r="R65" i="3" s="1"/>
  <c r="J66" i="3" s="1"/>
  <c r="N66" i="3" s="1"/>
  <c r="R66" i="3" s="1"/>
  <c r="J67" i="3" s="1"/>
  <c r="N67" i="3" s="1"/>
  <c r="R67" i="3" s="1"/>
  <c r="J68" i="3" s="1"/>
  <c r="N68" i="3" s="1"/>
  <c r="R68" i="3" s="1"/>
  <c r="J69" i="3" s="1"/>
  <c r="N69" i="3" s="1"/>
  <c r="R69" i="3" s="1"/>
  <c r="H62" i="3" l="1"/>
  <c r="H63" i="3"/>
  <c r="H65" i="3" s="1"/>
  <c r="H61" i="3"/>
  <c r="H66" i="3" l="1"/>
  <c r="H67" i="3" s="1"/>
  <c r="H64" i="3"/>
  <c r="H68" i="3"/>
  <c r="H69" i="3"/>
  <c r="H23" i="1" l="1"/>
  <c r="E31" i="1" l="1"/>
  <c r="K5" i="2" l="1"/>
  <c r="L5" i="2" s="1"/>
  <c r="K6" i="2"/>
  <c r="L6" i="2" s="1"/>
  <c r="G6" i="1" s="1"/>
  <c r="H6" i="1" s="1"/>
  <c r="K7" i="2"/>
  <c r="L7" i="2" s="1"/>
  <c r="G7" i="1" s="1"/>
  <c r="H7" i="1" s="1"/>
  <c r="K8" i="2"/>
  <c r="L8" i="2" s="1"/>
  <c r="G8" i="1" s="1"/>
  <c r="H8" i="1" s="1"/>
  <c r="K9" i="2"/>
  <c r="L9" i="2" s="1"/>
  <c r="G9" i="1" s="1"/>
  <c r="H9" i="1" s="1"/>
  <c r="K10" i="2"/>
  <c r="L10" i="2" s="1"/>
  <c r="G10" i="1" s="1"/>
  <c r="H10" i="1" s="1"/>
  <c r="K11" i="2"/>
  <c r="L11" i="2" s="1"/>
  <c r="G11" i="1" s="1"/>
  <c r="H11" i="1" s="1"/>
  <c r="K12" i="2"/>
  <c r="L12" i="2" s="1"/>
  <c r="G12" i="1" s="1"/>
  <c r="H12" i="1" s="1"/>
  <c r="K13" i="2"/>
  <c r="L13" i="2" s="1"/>
  <c r="G13" i="1" s="1"/>
  <c r="H13" i="1" s="1"/>
  <c r="K14" i="2"/>
  <c r="L14" i="2" s="1"/>
  <c r="G14" i="1" s="1"/>
  <c r="H14" i="1" s="1"/>
  <c r="K15" i="2"/>
  <c r="L15" i="2" s="1"/>
  <c r="G15" i="1" s="1"/>
  <c r="H15" i="1" s="1"/>
  <c r="K16" i="2"/>
  <c r="L16" i="2" s="1"/>
  <c r="G16" i="1" s="1"/>
  <c r="H16" i="1" s="1"/>
  <c r="K17" i="2"/>
  <c r="L17" i="2" s="1"/>
  <c r="G17" i="1" s="1"/>
  <c r="H17" i="1" s="1"/>
  <c r="K18" i="2"/>
  <c r="L18" i="2" s="1"/>
  <c r="G18" i="1" s="1"/>
  <c r="H18" i="1" s="1"/>
  <c r="K19" i="2"/>
  <c r="L19" i="2" s="1"/>
  <c r="G19" i="1" s="1"/>
  <c r="H19" i="1" s="1"/>
  <c r="K20" i="2"/>
  <c r="L20" i="2" s="1"/>
  <c r="G20" i="1" s="1"/>
  <c r="H20" i="1" s="1"/>
  <c r="K21" i="2"/>
  <c r="L21" i="2" s="1"/>
  <c r="G21" i="1" s="1"/>
  <c r="H21" i="1" s="1"/>
  <c r="K22" i="2"/>
  <c r="L22" i="2" s="1"/>
  <c r="G22" i="1" s="1"/>
  <c r="H22" i="1" s="1"/>
  <c r="L31" i="2" l="1"/>
  <c r="G5" i="1"/>
  <c r="H5" i="1" l="1"/>
  <c r="H31" i="1" s="1"/>
  <c r="G31" i="1"/>
</calcChain>
</file>

<file path=xl/comments1.xml><?xml version="1.0" encoding="utf-8"?>
<comments xmlns="http://schemas.openxmlformats.org/spreadsheetml/2006/main">
  <authors>
    <author>R.Pennybaker</author>
    <author>Author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C15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SPP NTC only allows 94% of this project to be Base Plan.  Therefore, from 2014 Update onward, the indicated ATTR is based upon 94% of actual project investment.
In previous annual Updates, AEP provided 100% investment based ATRR thus SPP only collected 94% of the indicated ATRRs.  
Repeating:  from 2014 Update onward, no scaling is required by SPP as the indicated ATRR is already refelcting the 94% scaler per the original NTC.
</t>
        </r>
      </text>
    </comment>
  </commentList>
</comments>
</file>

<file path=xl/comments2.xml><?xml version="1.0" encoding="utf-8"?>
<comments xmlns="http://schemas.openxmlformats.org/spreadsheetml/2006/main">
  <authors>
    <author>R.Pennybaker</author>
    <author>AEP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 xml:space="preserve">AEP:
</t>
        </r>
        <r>
          <rPr>
            <sz val="9"/>
            <color indexed="81"/>
            <rFont val="Tahoma"/>
            <family val="2"/>
          </rPr>
          <t xml:space="preserve">The SPP NTC only allows 94% of this project to be Base Plan.  Therefore, from 2014 Update onward, the indicated ATTR is based upon 94% of actual project investment.
In previous annual Updates, AEP provided 100% investment based ATRR thus SPP only collected 94% of the indicated ATRRs.  
Repeating:  from 2014 Update onward, no scaling is required by SPP as the indicated ATRR is already refelcting the 94% scaler per the original NTC.
</t>
        </r>
      </text>
    </comment>
  </commentList>
</comments>
</file>

<file path=xl/sharedStrings.xml><?xml version="1.0" encoding="utf-8"?>
<sst xmlns="http://schemas.openxmlformats.org/spreadsheetml/2006/main" count="199" uniqueCount="95">
  <si>
    <t>Sheet Name</t>
  </si>
  <si>
    <t>Owner</t>
  </si>
  <si>
    <t>Project Description</t>
  </si>
  <si>
    <t>Year in Service</t>
  </si>
  <si>
    <t>*&lt;$100K investment  *** Project became BPU ineligible (see Project's Notes)</t>
  </si>
  <si>
    <t>Grady Customer Connection</t>
  </si>
  <si>
    <t>Darlington-Red Rock 138 kV line</t>
  </si>
  <si>
    <t>Valliant-NW Texarkana 345 kV</t>
  </si>
  <si>
    <t>Duncan-Comanche Tap 69 KV Rebuild</t>
  </si>
  <si>
    <t>2018 ATRR True Up</t>
  </si>
  <si>
    <t>Adjustment 2018 ATRR Tax Resettlement</t>
  </si>
  <si>
    <t xml:space="preserve">Adjustment 2017 ROE </t>
  </si>
  <si>
    <t>Line No.</t>
  </si>
  <si>
    <t>SWT Total</t>
  </si>
  <si>
    <t>Difference</t>
  </si>
  <si>
    <t>ROE 10.5</t>
  </si>
  <si>
    <t>ROE 11.2</t>
  </si>
  <si>
    <t xml:space="preserve">AEP West SPP Member Transmission Companies </t>
  </si>
  <si>
    <t>AEP OKLAHOMA TRANSMISSION COMPANY, INC.</t>
  </si>
  <si>
    <t>True-up Adjustment - Over (Under) Recovery</t>
  </si>
  <si>
    <t>True Up Year:</t>
  </si>
  <si>
    <t xml:space="preserve"> </t>
  </si>
  <si>
    <t>Intermediate Year:</t>
  </si>
  <si>
    <t>Rate Year:</t>
  </si>
  <si>
    <t>Month</t>
  </si>
  <si>
    <t>Refunds/
(Surcharges)</t>
  </si>
  <si>
    <t>Cumulative Refunds/(Surcharges) - Beginning of Month (Without Interest)</t>
  </si>
  <si>
    <t>Base for Quarterly Compound Interest</t>
  </si>
  <si>
    <t>Base for Monthly Interest</t>
  </si>
  <si>
    <t>Monthly Interest Rate (Worksheet Q)</t>
  </si>
  <si>
    <t>Calculated Interest</t>
  </si>
  <si>
    <t>Amortization</t>
  </si>
  <si>
    <t>Cumulative Refunds and Interest - End of Month</t>
  </si>
  <si>
    <t>Calculation of Interest</t>
  </si>
  <si>
    <t>True-Up Year</t>
  </si>
  <si>
    <t>Intermediate Year</t>
  </si>
  <si>
    <t>Over (Under) Recovery Plus Interest Amortized and Recovered Over 12 Months</t>
  </si>
  <si>
    <t>Rate Year</t>
  </si>
  <si>
    <t>True-Up Adjustment with Interest</t>
  </si>
  <si>
    <t>Less Over (Under) Recovery</t>
  </si>
  <si>
    <t>Total Interest</t>
  </si>
  <si>
    <r>
      <rPr>
        <b/>
        <sz val="12"/>
        <rFont val="Arial Narrow"/>
        <family val="2"/>
      </rPr>
      <t>Note 1:</t>
    </r>
    <r>
      <rPr>
        <sz val="12"/>
        <rFont val="Arial Narrow"/>
        <family val="2"/>
      </rPr>
      <t xml:space="preserve">  The monthly interest rates to be applied to the over recovery or under recovery amounts during the true-up year and the intermediate year will be determined using the monthly FERC interest rates (as determined pursuant to 18 C.F.R. Section 35.19a) posted at </t>
    </r>
    <r>
      <rPr>
        <u/>
        <sz val="12"/>
        <rFont val="Arial Narrow"/>
        <family val="2"/>
      </rPr>
      <t>https://www.ferc.gov/enforcement/acct-matts/interest-rates.asp</t>
    </r>
    <r>
      <rPr>
        <sz val="12"/>
        <rFont val="Arial Narrow"/>
        <family val="2"/>
      </rPr>
      <t>.  The monthly interest rate to be applied to the over recovery or under recovery amounts each month during the rate year will equal a simple average of the 12 monthly interest rates for the intermediate year.</t>
    </r>
  </si>
  <si>
    <r>
      <rPr>
        <b/>
        <sz val="12"/>
        <rFont val="Arial Narrow"/>
        <family val="2"/>
      </rPr>
      <t>Note 2:</t>
    </r>
    <r>
      <rPr>
        <sz val="12"/>
        <rFont val="Arial Narrow"/>
        <family val="2"/>
      </rPr>
      <t xml:space="preserve"> An over or under collection for the Schedule 11 charge will be recovered prorata over the true-up year, held for the intermediate year and returned prorata over the rate year.</t>
    </r>
  </si>
  <si>
    <t>2017 BASE PLAN ROE REFUND INTEREST THROUGH 2020</t>
  </si>
  <si>
    <t>Interest</t>
  </si>
  <si>
    <t>Total 2017 Refund including Interest</t>
  </si>
  <si>
    <t>Total True Up Included in 2020 Base Plan PTRR</t>
  </si>
  <si>
    <t>PUBLIC SERVICE COMPANY of OKLAHOMA</t>
  </si>
  <si>
    <t>P.001</t>
  </si>
  <si>
    <t>PSO</t>
  </si>
  <si>
    <t>Riverside-Glenpool (81-523) Reconductor</t>
  </si>
  <si>
    <t>P.002</t>
  </si>
  <si>
    <t>Craig Jct. to Broken Bow Dam 138 Rebuild (7.7mi)</t>
  </si>
  <si>
    <t>P.003</t>
  </si>
  <si>
    <t>WFEC New 138 kV Ties: Sayre to Erick (WFEC) Line &amp; Atoka and Tupelo station work</t>
  </si>
  <si>
    <t>P.004</t>
  </si>
  <si>
    <t>Cache-Snyder to Altus Jct. 138 kV line (w/2 ring bus stations)</t>
  </si>
  <si>
    <t>P.005</t>
  </si>
  <si>
    <t>Catoosa 138 kV Device (Cap. Bank)</t>
  </si>
  <si>
    <t>P.006</t>
  </si>
  <si>
    <t>Pryor Junction 138/69 Upgrade Transf</t>
  </si>
  <si>
    <t>P.007</t>
  </si>
  <si>
    <t>Elk City - Elk City 69 kV line (CT Upgrades)*</t>
  </si>
  <si>
    <t>P.008</t>
  </si>
  <si>
    <t>Weleetka &amp; Okmulgee Wavetrap replacement 81-805*</t>
  </si>
  <si>
    <t>P.009</t>
  </si>
  <si>
    <t>Tulsa Southeast Upgrade (repl switches)*</t>
  </si>
  <si>
    <t>P.010</t>
  </si>
  <si>
    <t>Wavetrap Clinton City-Foss Tap 69kV Ckt 1*</t>
  </si>
  <si>
    <t>P.011</t>
  </si>
  <si>
    <t>Bartlesville SE to Coffeyville T Rebuild</t>
  </si>
  <si>
    <t>P.012</t>
  </si>
  <si>
    <t>Canadian River - McAlester City 138 kV Line Conversion</t>
  </si>
  <si>
    <t>P.013</t>
  </si>
  <si>
    <t>CoffeyvilleT to Dearing 138 kv Rebuild - 1.1 mi*</t>
  </si>
  <si>
    <t>P.014</t>
  </si>
  <si>
    <t>Ashdown West - Craig Junction</t>
  </si>
  <si>
    <t>P.015</t>
  </si>
  <si>
    <t>Locust Grove to Lone Star 115 kV Rebuild 2.1 miles</t>
  </si>
  <si>
    <t>P.016</t>
  </si>
  <si>
    <t>Cornville Station Conversion</t>
  </si>
  <si>
    <t>P.017</t>
  </si>
  <si>
    <t>P.018</t>
  </si>
  <si>
    <t>P.019</t>
  </si>
  <si>
    <t>P.020</t>
  </si>
  <si>
    <t>Sayre 138 kV Capacitor Bank Addition</t>
  </si>
  <si>
    <t>P.021</t>
  </si>
  <si>
    <t>Darlington-Roman Nose 138 kV</t>
  </si>
  <si>
    <t>P.022</t>
  </si>
  <si>
    <t>Northeastern Station 138 kV Terminal Upgrades</t>
  </si>
  <si>
    <t>P.023</t>
  </si>
  <si>
    <t>Elk City 138KV Move Load</t>
  </si>
  <si>
    <t>P.024</t>
  </si>
  <si>
    <t>P.025</t>
  </si>
  <si>
    <t>Fort Towson-Valliant Line Rebuild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</si>
</sst>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 MT"/>
    </font>
    <font>
      <b/>
      <sz val="12"/>
      <name val="Arial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quotePrefix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2" xfId="0" applyBorder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quotePrefix="1" applyFont="1" applyAlignment="1">
      <alignment horizontal="center" vertical="center"/>
    </xf>
    <xf numFmtId="0" fontId="0" fillId="0" borderId="0" xfId="0" quotePrefix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/>
    <xf numFmtId="0" fontId="10" fillId="0" borderId="0" xfId="0" applyFont="1" applyAlignment="1"/>
    <xf numFmtId="0" fontId="3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1" fontId="15" fillId="2" borderId="0" xfId="2" applyNumberFormat="1" applyFont="1" applyFill="1" applyBorder="1" applyAlignment="1">
      <alignment horizontal="center"/>
    </xf>
    <xf numFmtId="0" fontId="14" fillId="0" borderId="4" xfId="0" applyFont="1" applyFill="1" applyBorder="1" applyProtection="1">
      <protection locked="0"/>
    </xf>
    <xf numFmtId="165" fontId="14" fillId="0" borderId="0" xfId="0" applyNumberFormat="1" applyFont="1" applyFill="1" applyAlignment="1" applyProtection="1">
      <alignment horizontal="right"/>
      <protection locked="0"/>
    </xf>
    <xf numFmtId="165" fontId="14" fillId="0" borderId="0" xfId="0" applyNumberFormat="1" applyFont="1" applyFill="1" applyProtection="1">
      <protection locked="0"/>
    </xf>
    <xf numFmtId="0" fontId="3" fillId="0" borderId="0" xfId="0" applyNumberFormat="1" applyFont="1" applyAlignment="1">
      <alignment horizontal="center"/>
    </xf>
    <xf numFmtId="0" fontId="16" fillId="0" borderId="0" xfId="0" quotePrefix="1" applyNumberFormat="1" applyFont="1" applyFill="1" applyAlignment="1" applyProtection="1">
      <alignment horizontal="center"/>
      <protection locked="0"/>
    </xf>
    <xf numFmtId="5" fontId="14" fillId="0" borderId="5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Fill="1" applyProtection="1">
      <protection locked="0"/>
    </xf>
    <xf numFmtId="164" fontId="14" fillId="0" borderId="0" xfId="0" applyNumberFormat="1" applyFont="1" applyFill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0" xfId="0" applyNumberFormat="1" applyFont="1" applyFill="1" applyAlignment="1" applyProtection="1">
      <alignment horizontal="right"/>
      <protection locked="0"/>
    </xf>
    <xf numFmtId="0" fontId="14" fillId="0" borderId="0" xfId="0" applyNumberFormat="1" applyFont="1" applyFill="1" applyAlignment="1" applyProtection="1">
      <alignment horizontal="center"/>
      <protection locked="0"/>
    </xf>
    <xf numFmtId="164" fontId="14" fillId="0" borderId="6" xfId="0" applyNumberFormat="1" applyFont="1" applyFill="1" applyBorder="1" applyProtection="1"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Protection="1">
      <protection locked="0"/>
    </xf>
    <xf numFmtId="164" fontId="14" fillId="0" borderId="0" xfId="0" applyNumberFormat="1" applyFont="1" applyFill="1" applyAlignment="1" applyProtection="1">
      <alignment horizontal="left"/>
      <protection locked="0"/>
    </xf>
    <xf numFmtId="0" fontId="16" fillId="0" borderId="0" xfId="0" applyNumberFormat="1" applyFont="1" applyFill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horizontal="center" wrapText="1"/>
      <protection locked="0"/>
    </xf>
    <xf numFmtId="164" fontId="16" fillId="0" borderId="0" xfId="0" applyNumberFormat="1" applyFont="1" applyFill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horizontal="center"/>
      <protection locked="0"/>
    </xf>
    <xf numFmtId="164" fontId="16" fillId="0" borderId="0" xfId="0" applyNumberFormat="1" applyFont="1" applyFill="1" applyAlignment="1" applyProtection="1">
      <alignment horizontal="center"/>
      <protection locked="0"/>
    </xf>
    <xf numFmtId="0" fontId="16" fillId="0" borderId="0" xfId="0" applyNumberFormat="1" applyFont="1" applyFill="1" applyAlignment="1" applyProtection="1">
      <alignment horizontal="left"/>
      <protection locked="0"/>
    </xf>
    <xf numFmtId="166" fontId="14" fillId="0" borderId="0" xfId="3" applyNumberFormat="1" applyFont="1" applyFill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left"/>
      <protection locked="0"/>
    </xf>
    <xf numFmtId="14" fontId="14" fillId="0" borderId="0" xfId="0" applyNumberFormat="1" applyFont="1" applyFill="1" applyAlignment="1" applyProtection="1">
      <alignment horizontal="left"/>
      <protection locked="0"/>
    </xf>
    <xf numFmtId="164" fontId="14" fillId="0" borderId="0" xfId="2" applyNumberFormat="1" applyFont="1" applyFill="1" applyProtection="1">
      <protection locked="0"/>
    </xf>
    <xf numFmtId="164" fontId="14" fillId="0" borderId="0" xfId="4" applyNumberFormat="1" applyFont="1" applyFill="1" applyProtection="1">
      <protection locked="0"/>
    </xf>
    <xf numFmtId="167" fontId="14" fillId="0" borderId="0" xfId="0" applyNumberFormat="1" applyFont="1" applyFill="1" applyAlignment="1" applyProtection="1">
      <alignment horizontal="center"/>
      <protection locked="0"/>
    </xf>
    <xf numFmtId="0" fontId="14" fillId="0" borderId="0" xfId="0" applyNumberFormat="1" applyFont="1" applyFill="1" applyProtection="1">
      <protection locked="0"/>
    </xf>
    <xf numFmtId="0" fontId="14" fillId="0" borderId="0" xfId="0" applyNumberFormat="1" applyFont="1" applyFill="1"/>
    <xf numFmtId="164" fontId="14" fillId="0" borderId="0" xfId="2" applyNumberFormat="1" applyFont="1" applyFill="1" applyBorder="1" applyProtection="1">
      <protection locked="0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4" fontId="16" fillId="0" borderId="0" xfId="2" applyNumberFormat="1" applyFont="1" applyFill="1" applyProtection="1">
      <protection locked="0"/>
    </xf>
    <xf numFmtId="164" fontId="10" fillId="0" borderId="0" xfId="2" applyNumberFormat="1" applyFont="1" applyFill="1"/>
    <xf numFmtId="164" fontId="16" fillId="0" borderId="0" xfId="2" applyNumberFormat="1" applyFont="1" applyFill="1" applyBorder="1" applyAlignment="1" applyProtection="1">
      <alignment horizontal="center"/>
      <protection locked="0"/>
    </xf>
    <xf numFmtId="10" fontId="3" fillId="0" borderId="0" xfId="5" applyNumberFormat="1" applyFont="1"/>
    <xf numFmtId="0" fontId="17" fillId="0" borderId="0" xfId="0" applyFont="1" applyFill="1" applyProtection="1">
      <protection locked="0"/>
    </xf>
    <xf numFmtId="164" fontId="16" fillId="0" borderId="0" xfId="2" applyNumberFormat="1" applyFont="1" applyFill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164" fontId="16" fillId="0" borderId="0" xfId="0" applyNumberFormat="1" applyFont="1" applyFill="1" applyProtection="1">
      <protection locked="0"/>
    </xf>
    <xf numFmtId="43" fontId="3" fillId="0" borderId="0" xfId="0" applyNumberFormat="1" applyFont="1"/>
    <xf numFmtId="14" fontId="14" fillId="0" borderId="6" xfId="0" applyNumberFormat="1" applyFont="1" applyFill="1" applyBorder="1" applyAlignment="1" applyProtection="1">
      <alignment horizontal="left"/>
      <protection locked="0"/>
    </xf>
    <xf numFmtId="0" fontId="14" fillId="0" borderId="6" xfId="0" applyFont="1" applyFill="1" applyBorder="1" applyProtection="1">
      <protection locked="0"/>
    </xf>
    <xf numFmtId="164" fontId="14" fillId="0" borderId="6" xfId="2" applyNumberFormat="1" applyFont="1" applyFill="1" applyBorder="1" applyProtection="1">
      <protection locked="0"/>
    </xf>
    <xf numFmtId="167" fontId="14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14" fillId="0" borderId="1" xfId="0" applyFont="1" applyFill="1" applyBorder="1" applyProtection="1">
      <protection locked="0"/>
    </xf>
    <xf numFmtId="0" fontId="10" fillId="0" borderId="1" xfId="0" applyFont="1" applyFill="1" applyBorder="1"/>
    <xf numFmtId="164" fontId="10" fillId="0" borderId="1" xfId="2" applyNumberFormat="1" applyFont="1" applyFill="1" applyBorder="1"/>
    <xf numFmtId="164" fontId="14" fillId="0" borderId="1" xfId="2" applyNumberFormat="1" applyFont="1" applyFill="1" applyBorder="1"/>
    <xf numFmtId="0" fontId="14" fillId="0" borderId="0" xfId="0" applyFont="1" applyFill="1" applyBorder="1" applyProtection="1">
      <protection locked="0"/>
    </xf>
    <xf numFmtId="0" fontId="10" fillId="0" borderId="0" xfId="0" applyFont="1" applyFill="1" applyBorder="1"/>
    <xf numFmtId="164" fontId="10" fillId="0" borderId="0" xfId="2" applyNumberFormat="1" applyFont="1" applyFill="1" applyBorder="1"/>
    <xf numFmtId="164" fontId="14" fillId="0" borderId="0" xfId="2" applyNumberFormat="1" applyFont="1" applyFill="1" applyBorder="1"/>
    <xf numFmtId="0" fontId="14" fillId="0" borderId="2" xfId="0" applyFont="1" applyFill="1" applyBorder="1" applyProtection="1">
      <protection locked="0"/>
    </xf>
    <xf numFmtId="0" fontId="10" fillId="0" borderId="2" xfId="0" applyFont="1" applyFill="1" applyBorder="1"/>
    <xf numFmtId="164" fontId="10" fillId="0" borderId="2" xfId="2" applyNumberFormat="1" applyFont="1" applyFill="1" applyBorder="1"/>
    <xf numFmtId="164" fontId="14" fillId="0" borderId="2" xfId="2" applyNumberFormat="1" applyFont="1" applyFill="1" applyBorder="1"/>
    <xf numFmtId="0" fontId="3" fillId="0" borderId="0" xfId="0" applyFont="1" applyFill="1"/>
    <xf numFmtId="0" fontId="14" fillId="0" borderId="0" xfId="0" applyFont="1" applyFill="1" applyAlignment="1" applyProtection="1">
      <alignment wrapText="1"/>
      <protection locked="0"/>
    </xf>
    <xf numFmtId="43" fontId="3" fillId="0" borderId="0" xfId="6" applyNumberFormat="1" applyFont="1" applyFill="1" applyBorder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0" fillId="3" borderId="4" xfId="0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</cellXfs>
  <cellStyles count="7">
    <cellStyle name="Comma" xfId="1" builtinId="3"/>
    <cellStyle name="Comma 100" xfId="2"/>
    <cellStyle name="Comma 2" xfId="4"/>
    <cellStyle name="Normal" xfId="0" builtinId="0"/>
    <cellStyle name="Normal 2" xfId="6"/>
    <cellStyle name="Percent 10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E5" sqref="E5"/>
    </sheetView>
  </sheetViews>
  <sheetFormatPr defaultRowHeight="15"/>
  <cols>
    <col min="1" max="1" width="9.85546875" customWidth="1"/>
    <col min="2" max="2" width="7" bestFit="1" customWidth="1"/>
    <col min="3" max="3" width="43.140625" customWidth="1"/>
    <col min="4" max="4" width="9" customWidth="1"/>
    <col min="5" max="5" width="14" bestFit="1" customWidth="1"/>
    <col min="6" max="6" width="13.7109375" customWidth="1"/>
    <col min="7" max="7" width="13.140625" customWidth="1"/>
    <col min="8" max="8" width="15.28515625" customWidth="1"/>
  </cols>
  <sheetData>
    <row r="1" spans="1:8">
      <c r="A1" s="25" t="s">
        <v>47</v>
      </c>
    </row>
    <row r="2" spans="1:8" ht="15.75" thickBot="1">
      <c r="D2" s="2"/>
    </row>
    <row r="3" spans="1:8" ht="60">
      <c r="A3" s="3" t="s">
        <v>0</v>
      </c>
      <c r="B3" s="4" t="s">
        <v>1</v>
      </c>
      <c r="C3" s="4" t="s">
        <v>2</v>
      </c>
      <c r="D3" s="5" t="s">
        <v>3</v>
      </c>
      <c r="E3" s="16" t="s">
        <v>9</v>
      </c>
      <c r="F3" s="16" t="s">
        <v>10</v>
      </c>
      <c r="G3" s="24" t="s">
        <v>45</v>
      </c>
      <c r="H3" s="100" t="s">
        <v>46</v>
      </c>
    </row>
    <row r="4" spans="1:8">
      <c r="B4" s="2"/>
      <c r="C4" s="2"/>
      <c r="H4" s="101"/>
    </row>
    <row r="5" spans="1:8">
      <c r="A5" s="1" t="s">
        <v>48</v>
      </c>
      <c r="B5" s="1" t="s">
        <v>49</v>
      </c>
      <c r="C5" s="7" t="s">
        <v>50</v>
      </c>
      <c r="D5" s="8">
        <v>2009</v>
      </c>
      <c r="E5" s="14">
        <v>-37936.480138851497</v>
      </c>
      <c r="F5" s="15">
        <v>10160.244888135436</v>
      </c>
      <c r="G5" s="15">
        <f>+'2017 Refund'!L5</f>
        <v>-1357.5463557924159</v>
      </c>
      <c r="H5" s="102">
        <f>SUM(E5:G5)</f>
        <v>-29133.781606508477</v>
      </c>
    </row>
    <row r="6" spans="1:8" ht="25.5">
      <c r="A6" s="1" t="s">
        <v>51</v>
      </c>
      <c r="B6" s="1" t="s">
        <v>49</v>
      </c>
      <c r="C6" s="7" t="s">
        <v>52</v>
      </c>
      <c r="D6" s="8">
        <v>2009</v>
      </c>
      <c r="E6" s="14">
        <v>-192571.68600013424</v>
      </c>
      <c r="F6" s="15">
        <v>52585.718702884624</v>
      </c>
      <c r="G6" s="15">
        <f>+'2017 Refund'!L6</f>
        <v>-6691.3605505877058</v>
      </c>
      <c r="H6" s="102">
        <f t="shared" ref="H6:H23" si="0">SUM(E6:G6)</f>
        <v>-146677.32784783732</v>
      </c>
    </row>
    <row r="7" spans="1:8" ht="30">
      <c r="A7" s="1" t="s">
        <v>53</v>
      </c>
      <c r="B7" s="1" t="s">
        <v>49</v>
      </c>
      <c r="C7" s="98" t="s">
        <v>54</v>
      </c>
      <c r="D7" s="8">
        <v>2009</v>
      </c>
      <c r="E7" s="14">
        <v>-479154.30844424153</v>
      </c>
      <c r="F7" s="15">
        <v>129689.930030633</v>
      </c>
      <c r="G7" s="15">
        <f>+'2017 Refund'!L7</f>
        <v>-16887.67132178941</v>
      </c>
      <c r="H7" s="102">
        <f t="shared" si="0"/>
        <v>-366352.04973539792</v>
      </c>
    </row>
    <row r="8" spans="1:8" ht="30">
      <c r="A8" s="1" t="s">
        <v>55</v>
      </c>
      <c r="B8" s="1" t="s">
        <v>49</v>
      </c>
      <c r="C8" s="98" t="s">
        <v>56</v>
      </c>
      <c r="D8" s="8">
        <v>2008</v>
      </c>
      <c r="E8" s="14">
        <v>-612064.52891997015</v>
      </c>
      <c r="F8" s="15">
        <v>162896.15531967883</v>
      </c>
      <c r="G8" s="15">
        <f>+'2017 Refund'!L8</f>
        <v>-54336.330860674869</v>
      </c>
      <c r="H8" s="102">
        <f t="shared" si="0"/>
        <v>-503504.70446096617</v>
      </c>
    </row>
    <row r="9" spans="1:8">
      <c r="A9" s="6" t="s">
        <v>57</v>
      </c>
      <c r="B9" s="1" t="s">
        <v>49</v>
      </c>
      <c r="C9" s="98" t="s">
        <v>58</v>
      </c>
      <c r="D9" s="8">
        <v>2006</v>
      </c>
      <c r="E9" s="14">
        <v>-15038.089166161973</v>
      </c>
      <c r="F9" s="15">
        <v>4033.5267225097705</v>
      </c>
      <c r="G9" s="15">
        <f>+'2017 Refund'!L9</f>
        <v>-525.65199059835209</v>
      </c>
      <c r="H9" s="102">
        <f t="shared" si="0"/>
        <v>-11530.214434250554</v>
      </c>
    </row>
    <row r="10" spans="1:8">
      <c r="A10" s="1" t="s">
        <v>59</v>
      </c>
      <c r="B10" s="1" t="s">
        <v>49</v>
      </c>
      <c r="C10" s="98" t="s">
        <v>60</v>
      </c>
      <c r="D10" s="8">
        <v>2008</v>
      </c>
      <c r="E10" s="14">
        <v>-61952.670846902161</v>
      </c>
      <c r="F10" s="15">
        <v>16684.100018948724</v>
      </c>
      <c r="G10" s="15">
        <f>+'2017 Refund'!L10</f>
        <v>-2182.6299686016378</v>
      </c>
      <c r="H10" s="102">
        <f t="shared" si="0"/>
        <v>-47451.200796555073</v>
      </c>
    </row>
    <row r="11" spans="1:8">
      <c r="A11" s="1" t="s">
        <v>61</v>
      </c>
      <c r="B11" s="1" t="s">
        <v>49</v>
      </c>
      <c r="C11" s="98" t="s">
        <v>62</v>
      </c>
      <c r="D11" s="8">
        <v>2007</v>
      </c>
      <c r="E11" s="14">
        <v>-3439.7715335888142</v>
      </c>
      <c r="F11" s="15">
        <v>920.71962668988454</v>
      </c>
      <c r="G11" s="15">
        <f>+'2017 Refund'!L11</f>
        <v>-121.98763123765681</v>
      </c>
      <c r="H11" s="102">
        <f t="shared" si="0"/>
        <v>-2641.0395381365865</v>
      </c>
    </row>
    <row r="12" spans="1:8" ht="30">
      <c r="A12" s="1" t="s">
        <v>63</v>
      </c>
      <c r="B12" s="1" t="s">
        <v>49</v>
      </c>
      <c r="C12" s="98" t="s">
        <v>64</v>
      </c>
      <c r="D12" s="8">
        <v>2006</v>
      </c>
      <c r="E12" s="14">
        <v>-2124.0517747596546</v>
      </c>
      <c r="F12" s="15">
        <v>584.93463505825275</v>
      </c>
      <c r="G12" s="15">
        <f>+'2017 Refund'!L12</f>
        <v>-71.542396000623981</v>
      </c>
      <c r="H12" s="102">
        <f t="shared" si="0"/>
        <v>-1610.6595357020258</v>
      </c>
    </row>
    <row r="13" spans="1:8">
      <c r="A13" s="1" t="s">
        <v>65</v>
      </c>
      <c r="B13" s="1" t="s">
        <v>49</v>
      </c>
      <c r="C13" s="98" t="s">
        <v>66</v>
      </c>
      <c r="D13" s="8">
        <v>2007</v>
      </c>
      <c r="E13" s="14">
        <v>-2820.1632763330258</v>
      </c>
      <c r="F13" s="15">
        <v>777.83216945338245</v>
      </c>
      <c r="G13" s="15">
        <f>+'2017 Refund'!L13</f>
        <v>-95.513853336280022</v>
      </c>
      <c r="H13" s="102">
        <f t="shared" si="0"/>
        <v>-2137.8449602159235</v>
      </c>
    </row>
    <row r="14" spans="1:8">
      <c r="A14" s="1" t="s">
        <v>67</v>
      </c>
      <c r="B14" s="1" t="s">
        <v>49</v>
      </c>
      <c r="C14" s="99" t="s">
        <v>68</v>
      </c>
      <c r="D14" s="8">
        <v>2010</v>
      </c>
      <c r="E14" s="14">
        <v>-4079.1779570959247</v>
      </c>
      <c r="F14" s="15">
        <v>1115.0559614493995</v>
      </c>
      <c r="G14" s="15">
        <f>+'2017 Refund'!L14</f>
        <v>-142.55975234536365</v>
      </c>
      <c r="H14" s="102">
        <f t="shared" si="0"/>
        <v>-3106.6817479918886</v>
      </c>
    </row>
    <row r="15" spans="1:8">
      <c r="A15" s="6" t="s">
        <v>69</v>
      </c>
      <c r="B15" s="1" t="s">
        <v>49</v>
      </c>
      <c r="C15" s="99" t="s">
        <v>70</v>
      </c>
      <c r="D15" s="8">
        <v>2011</v>
      </c>
      <c r="E15" s="14">
        <v>-61033.745241056422</v>
      </c>
      <c r="F15" s="15">
        <v>16627.532558125124</v>
      </c>
      <c r="G15" s="15">
        <f>+'2017 Refund'!L15</f>
        <v>-2154.942665204087</v>
      </c>
      <c r="H15" s="102">
        <f t="shared" si="0"/>
        <v>-46561.155348135384</v>
      </c>
    </row>
    <row r="16" spans="1:8" ht="30">
      <c r="A16" s="6" t="s">
        <v>71</v>
      </c>
      <c r="B16" s="1" t="s">
        <v>49</v>
      </c>
      <c r="C16" s="99" t="s">
        <v>72</v>
      </c>
      <c r="D16" s="8">
        <v>2012</v>
      </c>
      <c r="E16" s="14">
        <v>-150706.24446223161</v>
      </c>
      <c r="F16" s="15">
        <v>40934.561773928115</v>
      </c>
      <c r="G16" s="15">
        <f>+'2017 Refund'!L16</f>
        <v>-5395.5572020156815</v>
      </c>
      <c r="H16" s="102">
        <f t="shared" si="0"/>
        <v>-115167.23989031918</v>
      </c>
    </row>
    <row r="17" spans="1:8" ht="30">
      <c r="A17" s="6" t="s">
        <v>73</v>
      </c>
      <c r="B17" s="1" t="s">
        <v>49</v>
      </c>
      <c r="C17" s="99" t="s">
        <v>74</v>
      </c>
      <c r="D17" s="8">
        <v>2010</v>
      </c>
      <c r="E17" s="14">
        <v>-987.12155853849799</v>
      </c>
      <c r="F17" s="15">
        <v>269.20995223763657</v>
      </c>
      <c r="G17" s="15">
        <f>+'2017 Refund'!L17</f>
        <v>-35.090599275843289</v>
      </c>
      <c r="H17" s="102">
        <f t="shared" si="0"/>
        <v>-753.00220557670468</v>
      </c>
    </row>
    <row r="18" spans="1:8">
      <c r="A18" s="9" t="s">
        <v>75</v>
      </c>
      <c r="B18" s="1" t="s">
        <v>49</v>
      </c>
      <c r="C18" s="99" t="s">
        <v>76</v>
      </c>
      <c r="D18" s="8">
        <v>2013</v>
      </c>
      <c r="E18" s="14">
        <v>-36822.406387829869</v>
      </c>
      <c r="F18" s="15">
        <v>11658.061290020763</v>
      </c>
      <c r="G18" s="15">
        <f>+'2017 Refund'!L18</f>
        <v>-746.40777402446986</v>
      </c>
      <c r="H18" s="102">
        <f t="shared" si="0"/>
        <v>-25910.752871833574</v>
      </c>
    </row>
    <row r="19" spans="1:8" ht="30">
      <c r="A19" s="9" t="s">
        <v>77</v>
      </c>
      <c r="B19" s="1" t="s">
        <v>49</v>
      </c>
      <c r="C19" s="99" t="s">
        <v>78</v>
      </c>
      <c r="D19" s="8">
        <v>2014</v>
      </c>
      <c r="E19" s="14">
        <v>-103995.53976835488</v>
      </c>
      <c r="F19" s="15">
        <v>28503.561014593695</v>
      </c>
      <c r="G19" s="15">
        <f>+'2017 Refund'!L19</f>
        <v>-3690.2982818965606</v>
      </c>
      <c r="H19" s="102">
        <f t="shared" si="0"/>
        <v>-79182.277035657738</v>
      </c>
    </row>
    <row r="20" spans="1:8">
      <c r="A20" s="9" t="s">
        <v>79</v>
      </c>
      <c r="B20" s="1" t="s">
        <v>49</v>
      </c>
      <c r="C20" s="99" t="s">
        <v>80</v>
      </c>
      <c r="D20" s="8">
        <v>2014</v>
      </c>
      <c r="E20" s="14">
        <v>-237792.29593009088</v>
      </c>
      <c r="F20" s="15">
        <v>65402.261672004359</v>
      </c>
      <c r="G20" s="15">
        <f>+'2017 Refund'!L20</f>
        <v>-8439.872973220612</v>
      </c>
      <c r="H20" s="102">
        <f t="shared" si="0"/>
        <v>-180829.90723130712</v>
      </c>
    </row>
    <row r="21" spans="1:8">
      <c r="A21" s="9" t="s">
        <v>81</v>
      </c>
      <c r="B21" s="1" t="s">
        <v>49</v>
      </c>
      <c r="C21" s="99" t="s">
        <v>5</v>
      </c>
      <c r="D21" s="8">
        <v>2015</v>
      </c>
      <c r="E21" s="14">
        <v>-80635.126650766353</v>
      </c>
      <c r="F21" s="15">
        <v>22379.047541395325</v>
      </c>
      <c r="G21" s="15">
        <f>+'2017 Refund'!L21</f>
        <v>-2917.446419211642</v>
      </c>
      <c r="H21" s="102">
        <f t="shared" si="0"/>
        <v>-61173.525528582672</v>
      </c>
    </row>
    <row r="22" spans="1:8">
      <c r="A22" s="9" t="s">
        <v>82</v>
      </c>
      <c r="B22" s="1" t="s">
        <v>49</v>
      </c>
      <c r="C22" s="99" t="s">
        <v>6</v>
      </c>
      <c r="D22" s="8">
        <v>2014</v>
      </c>
      <c r="E22" s="14">
        <v>-77822.586138922474</v>
      </c>
      <c r="F22" s="15">
        <v>21989.438141323073</v>
      </c>
      <c r="G22" s="15">
        <f>+'2017 Refund'!L22</f>
        <v>-2653.3640426678676</v>
      </c>
      <c r="H22" s="102">
        <f t="shared" si="0"/>
        <v>-58486.512040267269</v>
      </c>
    </row>
    <row r="23" spans="1:8">
      <c r="A23" s="9" t="s">
        <v>83</v>
      </c>
      <c r="B23" s="1" t="s">
        <v>49</v>
      </c>
      <c r="C23" s="99" t="s">
        <v>7</v>
      </c>
      <c r="D23" s="8">
        <v>2017</v>
      </c>
      <c r="E23" s="14">
        <v>-68767.635868676298</v>
      </c>
      <c r="F23" s="15">
        <v>20256.874065676471</v>
      </c>
      <c r="G23" s="15">
        <f>+'2017 Refund'!L23</f>
        <v>-1185.6650510544553</v>
      </c>
      <c r="H23" s="102">
        <f t="shared" si="0"/>
        <v>-49696.426854054283</v>
      </c>
    </row>
    <row r="24" spans="1:8">
      <c r="A24" s="9" t="s">
        <v>84</v>
      </c>
      <c r="B24" s="1" t="s">
        <v>49</v>
      </c>
      <c r="C24" s="99" t="s">
        <v>85</v>
      </c>
      <c r="D24" s="8">
        <v>2018</v>
      </c>
      <c r="E24" s="14">
        <v>-26919.867556443114</v>
      </c>
      <c r="F24" s="15">
        <v>8866.3828482411627</v>
      </c>
      <c r="G24" s="15">
        <f>+'2017 Refund'!L24</f>
        <v>2306.8041075337305</v>
      </c>
      <c r="H24" s="102">
        <f t="shared" ref="H24:H29" si="1">SUM(E24:G24)</f>
        <v>-15746.68060066822</v>
      </c>
    </row>
    <row r="25" spans="1:8">
      <c r="A25" s="9" t="s">
        <v>86</v>
      </c>
      <c r="B25" s="1" t="s">
        <v>49</v>
      </c>
      <c r="C25" s="99" t="s">
        <v>87</v>
      </c>
      <c r="D25" s="8">
        <v>2017</v>
      </c>
      <c r="E25" s="14">
        <v>-4086.1617075542881</v>
      </c>
      <c r="F25" s="15">
        <v>3985.844498670398</v>
      </c>
      <c r="G25" s="15">
        <f>+'2017 Refund'!L25</f>
        <v>112.03424797499943</v>
      </c>
      <c r="H25" s="102">
        <f t="shared" si="1"/>
        <v>11.717039091109342</v>
      </c>
    </row>
    <row r="26" spans="1:8" ht="30">
      <c r="A26" s="9" t="s">
        <v>88</v>
      </c>
      <c r="B26" s="1" t="s">
        <v>49</v>
      </c>
      <c r="C26" s="99" t="s">
        <v>89</v>
      </c>
      <c r="D26" s="8">
        <v>2018</v>
      </c>
      <c r="E26" s="14">
        <v>-9353.4774067072758</v>
      </c>
      <c r="F26" s="15">
        <v>1876.6312858908859</v>
      </c>
      <c r="G26" s="15">
        <f>+'2017 Refund'!L26</f>
        <v>0</v>
      </c>
      <c r="H26" s="102">
        <f t="shared" si="1"/>
        <v>-7476.8461208163899</v>
      </c>
    </row>
    <row r="27" spans="1:8">
      <c r="A27" s="9" t="s">
        <v>90</v>
      </c>
      <c r="B27" s="1" t="s">
        <v>49</v>
      </c>
      <c r="C27" s="99" t="s">
        <v>91</v>
      </c>
      <c r="D27" s="8">
        <v>2018</v>
      </c>
      <c r="E27" s="14">
        <v>-68157.716512809537</v>
      </c>
      <c r="F27" s="15">
        <v>13674.796829155675</v>
      </c>
      <c r="G27" s="15">
        <f>+'2017 Refund'!L27</f>
        <v>0</v>
      </c>
      <c r="H27" s="102">
        <f t="shared" si="1"/>
        <v>-54482.919683653861</v>
      </c>
    </row>
    <row r="28" spans="1:8">
      <c r="A28" s="9" t="s">
        <v>92</v>
      </c>
      <c r="B28" s="1" t="s">
        <v>49</v>
      </c>
      <c r="C28" s="99" t="s">
        <v>8</v>
      </c>
      <c r="D28" s="8">
        <v>2018</v>
      </c>
      <c r="E28" s="14">
        <v>-39469.412613071385</v>
      </c>
      <c r="F28" s="15">
        <v>8029.5207478281955</v>
      </c>
      <c r="G28" s="15">
        <f>+'2017 Refund'!L28</f>
        <v>0</v>
      </c>
      <c r="H28" s="102">
        <f t="shared" si="1"/>
        <v>-31439.891865243189</v>
      </c>
    </row>
    <row r="29" spans="1:8">
      <c r="A29" s="9" t="s">
        <v>93</v>
      </c>
      <c r="B29" s="1" t="s">
        <v>49</v>
      </c>
      <c r="C29" s="99" t="s">
        <v>94</v>
      </c>
      <c r="D29" s="8">
        <v>2018</v>
      </c>
      <c r="E29" s="14">
        <v>-83803.292855670545</v>
      </c>
      <c r="F29" s="15">
        <v>9352.3919821447344</v>
      </c>
      <c r="G29" s="15">
        <f>+'2017 Refund'!L29</f>
        <v>0</v>
      </c>
      <c r="H29" s="102">
        <f t="shared" si="1"/>
        <v>-74450.90087352581</v>
      </c>
    </row>
    <row r="30" spans="1:8">
      <c r="H30" s="101"/>
    </row>
    <row r="31" spans="1:8" ht="15.75" thickBot="1">
      <c r="E31" s="15">
        <f>SUM(E5:E29)</f>
        <v>-2461533.5587167623</v>
      </c>
      <c r="F31" s="15">
        <f>SUM(F5:F29)</f>
        <v>653254.33427667688</v>
      </c>
      <c r="G31" s="15">
        <f>SUM(G5:G29)</f>
        <v>-107212.60133402683</v>
      </c>
      <c r="H31" s="103">
        <f>SUM(H5:H29)</f>
        <v>-1915491.8257741123</v>
      </c>
    </row>
  </sheetData>
  <pageMargins left="0.7" right="0.7" top="0.75" bottom="0.75" header="0.3" footer="0.3"/>
  <pageSetup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workbookViewId="0">
      <selection activeCell="E5" sqref="E5"/>
    </sheetView>
  </sheetViews>
  <sheetFormatPr defaultRowHeight="15"/>
  <cols>
    <col min="1" max="1" width="7.28515625" customWidth="1"/>
    <col min="2" max="2" width="1.85546875" customWidth="1"/>
    <col min="3" max="3" width="9.42578125" customWidth="1"/>
    <col min="4" max="4" width="7" bestFit="1" customWidth="1"/>
    <col min="5" max="5" width="49" customWidth="1"/>
    <col min="6" max="6" width="10.140625" customWidth="1"/>
    <col min="7" max="8" width="11.5703125" bestFit="1" customWidth="1"/>
    <col min="9" max="9" width="12" customWidth="1"/>
    <col min="10" max="10" width="11.42578125" customWidth="1"/>
    <col min="12" max="12" width="13.140625" customWidth="1"/>
  </cols>
  <sheetData>
    <row r="2" spans="1:12">
      <c r="F2" s="2"/>
    </row>
    <row r="3" spans="1:12" ht="51.75">
      <c r="A3" s="17" t="s">
        <v>12</v>
      </c>
      <c r="B3" s="3"/>
      <c r="C3" s="3" t="s">
        <v>0</v>
      </c>
      <c r="D3" s="4" t="s">
        <v>1</v>
      </c>
      <c r="E3" s="4" t="s">
        <v>2</v>
      </c>
      <c r="F3" s="5" t="s">
        <v>3</v>
      </c>
      <c r="G3" s="24" t="s">
        <v>15</v>
      </c>
      <c r="H3" s="24" t="s">
        <v>16</v>
      </c>
      <c r="I3" s="24" t="s">
        <v>14</v>
      </c>
      <c r="J3" s="24" t="s">
        <v>11</v>
      </c>
      <c r="K3" s="24" t="s">
        <v>44</v>
      </c>
      <c r="L3" s="24" t="s">
        <v>45</v>
      </c>
    </row>
    <row r="4" spans="1:12">
      <c r="D4" s="2"/>
      <c r="E4" s="2"/>
    </row>
    <row r="5" spans="1:12">
      <c r="A5" s="10">
        <v>1</v>
      </c>
      <c r="B5" s="10"/>
      <c r="C5" s="1" t="s">
        <v>48</v>
      </c>
      <c r="D5" s="1" t="s">
        <v>49</v>
      </c>
      <c r="E5" s="7" t="s">
        <v>50</v>
      </c>
      <c r="F5" s="8">
        <v>2009</v>
      </c>
      <c r="G5" s="14">
        <v>1297.0515613025711</v>
      </c>
      <c r="H5" s="14">
        <v>3483.642845041024</v>
      </c>
      <c r="I5" s="15">
        <f>+G5-H5</f>
        <v>-2186.5912837384531</v>
      </c>
      <c r="J5" s="14">
        <f>+I5/365*209</f>
        <v>-1252.0481597296896</v>
      </c>
      <c r="K5" s="14">
        <f t="shared" ref="K5:K22" si="0">+J5/$J$31*$K$31</f>
        <v>-105.49819606272632</v>
      </c>
      <c r="L5" s="15">
        <f>+J5+K5</f>
        <v>-1357.5463557924159</v>
      </c>
    </row>
    <row r="6" spans="1:12">
      <c r="A6" s="10">
        <v>2</v>
      </c>
      <c r="B6" s="10"/>
      <c r="C6" s="1" t="s">
        <v>51</v>
      </c>
      <c r="D6" s="1" t="s">
        <v>49</v>
      </c>
      <c r="E6" s="7" t="s">
        <v>52</v>
      </c>
      <c r="F6" s="8">
        <v>2009</v>
      </c>
      <c r="G6" s="14">
        <v>11237.055611371516</v>
      </c>
      <c r="H6" s="14">
        <v>22014.787505267668</v>
      </c>
      <c r="I6" s="15">
        <f t="shared" ref="I6:I22" si="1">+G6-H6</f>
        <v>-10777.731893896153</v>
      </c>
      <c r="J6" s="14">
        <f t="shared" ref="J6:J28" si="2">+I6/365*209</f>
        <v>-6171.3588104775226</v>
      </c>
      <c r="K6" s="14">
        <f t="shared" si="0"/>
        <v>-520.00174011018316</v>
      </c>
      <c r="L6" s="15">
        <f t="shared" ref="L6:L22" si="3">+J6+K6</f>
        <v>-6691.3605505877058</v>
      </c>
    </row>
    <row r="7" spans="1:12" ht="30">
      <c r="A7" s="10">
        <v>3</v>
      </c>
      <c r="B7" s="10"/>
      <c r="C7" s="1" t="s">
        <v>53</v>
      </c>
      <c r="D7" s="1" t="s">
        <v>49</v>
      </c>
      <c r="E7" s="98" t="s">
        <v>54</v>
      </c>
      <c r="F7" s="8">
        <v>2009</v>
      </c>
      <c r="G7" s="14">
        <v>22414.549537116876</v>
      </c>
      <c r="H7" s="14">
        <v>49615.414360115996</v>
      </c>
      <c r="I7" s="15">
        <f t="shared" si="1"/>
        <v>-27200.864822999119</v>
      </c>
      <c r="J7" s="14">
        <f t="shared" si="2"/>
        <v>-15575.289720566618</v>
      </c>
      <c r="K7" s="14">
        <f t="shared" si="0"/>
        <v>-1312.3816012227942</v>
      </c>
      <c r="L7" s="15">
        <f t="shared" si="3"/>
        <v>-16887.67132178941</v>
      </c>
    </row>
    <row r="8" spans="1:12" ht="30">
      <c r="A8" s="10">
        <v>4</v>
      </c>
      <c r="B8" s="10"/>
      <c r="C8" s="1" t="s">
        <v>55</v>
      </c>
      <c r="D8" s="1" t="s">
        <v>49</v>
      </c>
      <c r="E8" s="98" t="s">
        <v>56</v>
      </c>
      <c r="F8" s="8">
        <v>2008</v>
      </c>
      <c r="G8" s="14">
        <v>-392341.92474339315</v>
      </c>
      <c r="H8" s="14">
        <v>-304822.74210676871</v>
      </c>
      <c r="I8" s="15">
        <f t="shared" si="1"/>
        <v>-87519.182636624435</v>
      </c>
      <c r="J8" s="14">
        <f t="shared" si="2"/>
        <v>-50113.723756313717</v>
      </c>
      <c r="K8" s="14">
        <f t="shared" si="0"/>
        <v>-4222.60710436115</v>
      </c>
      <c r="L8" s="15">
        <f t="shared" si="3"/>
        <v>-54336.330860674869</v>
      </c>
    </row>
    <row r="9" spans="1:12">
      <c r="A9" s="10">
        <v>5</v>
      </c>
      <c r="C9" s="6" t="s">
        <v>57</v>
      </c>
      <c r="D9" s="1" t="s">
        <v>49</v>
      </c>
      <c r="E9" s="98" t="s">
        <v>58</v>
      </c>
      <c r="F9" s="8">
        <v>2006</v>
      </c>
      <c r="G9" s="14">
        <v>772.54161648309093</v>
      </c>
      <c r="H9" s="14">
        <v>1619.2059355451195</v>
      </c>
      <c r="I9" s="15">
        <f t="shared" si="1"/>
        <v>-846.66431906202854</v>
      </c>
      <c r="J9" s="14">
        <f t="shared" si="2"/>
        <v>-484.8023087231889</v>
      </c>
      <c r="K9" s="14">
        <f t="shared" si="0"/>
        <v>-40.84968187516322</v>
      </c>
      <c r="L9" s="15">
        <f t="shared" si="3"/>
        <v>-525.65199059835209</v>
      </c>
    </row>
    <row r="10" spans="1:12">
      <c r="A10" s="10">
        <v>6</v>
      </c>
      <c r="C10" s="1" t="s">
        <v>59</v>
      </c>
      <c r="D10" s="1" t="s">
        <v>49</v>
      </c>
      <c r="E10" s="98" t="s">
        <v>60</v>
      </c>
      <c r="F10" s="8">
        <v>2008</v>
      </c>
      <c r="G10" s="14">
        <v>2872.518603915908</v>
      </c>
      <c r="H10" s="14">
        <v>6388.0668167685726</v>
      </c>
      <c r="I10" s="15">
        <f t="shared" si="1"/>
        <v>-3515.5482128526646</v>
      </c>
      <c r="J10" s="14">
        <f t="shared" si="2"/>
        <v>-2013.0125383183749</v>
      </c>
      <c r="K10" s="14">
        <f t="shared" si="0"/>
        <v>-169.61743028326296</v>
      </c>
      <c r="L10" s="15">
        <f t="shared" si="3"/>
        <v>-2182.6299686016378</v>
      </c>
    </row>
    <row r="11" spans="1:12">
      <c r="A11" s="10">
        <v>7</v>
      </c>
      <c r="C11" s="1" t="s">
        <v>61</v>
      </c>
      <c r="D11" s="1" t="s">
        <v>49</v>
      </c>
      <c r="E11" s="98" t="s">
        <v>62</v>
      </c>
      <c r="F11" s="8">
        <v>2007</v>
      </c>
      <c r="G11" s="14">
        <v>139.78914010826105</v>
      </c>
      <c r="H11" s="14">
        <v>336.27384212233221</v>
      </c>
      <c r="I11" s="15">
        <f t="shared" si="1"/>
        <v>-196.48470201407116</v>
      </c>
      <c r="J11" s="14">
        <f t="shared" si="2"/>
        <v>-112.50767868750923</v>
      </c>
      <c r="K11" s="14">
        <f t="shared" si="0"/>
        <v>-9.479952550147587</v>
      </c>
      <c r="L11" s="15">
        <f t="shared" si="3"/>
        <v>-121.98763123765681</v>
      </c>
    </row>
    <row r="12" spans="1:12" ht="30">
      <c r="A12" s="10">
        <v>8</v>
      </c>
      <c r="C12" s="1" t="s">
        <v>63</v>
      </c>
      <c r="D12" s="1" t="s">
        <v>49</v>
      </c>
      <c r="E12" s="98" t="s">
        <v>64</v>
      </c>
      <c r="F12" s="8">
        <v>2006</v>
      </c>
      <c r="G12" s="14">
        <v>172.91974311112355</v>
      </c>
      <c r="H12" s="14">
        <v>288.15262546924885</v>
      </c>
      <c r="I12" s="15">
        <f t="shared" si="1"/>
        <v>-115.23288235812529</v>
      </c>
      <c r="J12" s="14">
        <f t="shared" si="2"/>
        <v>-65.982664144789553</v>
      </c>
      <c r="K12" s="14">
        <f t="shared" si="0"/>
        <v>-5.5597318558344302</v>
      </c>
      <c r="L12" s="15">
        <f t="shared" si="3"/>
        <v>-71.542396000623981</v>
      </c>
    </row>
    <row r="13" spans="1:12">
      <c r="A13" s="10">
        <v>9</v>
      </c>
      <c r="C13" s="1" t="s">
        <v>65</v>
      </c>
      <c r="D13" s="1" t="s">
        <v>49</v>
      </c>
      <c r="E13" s="98" t="s">
        <v>66</v>
      </c>
      <c r="F13" s="8">
        <v>2007</v>
      </c>
      <c r="G13" s="14">
        <v>219.59540436618161</v>
      </c>
      <c r="H13" s="14">
        <v>373.43896063979025</v>
      </c>
      <c r="I13" s="15">
        <f t="shared" si="1"/>
        <v>-153.84355627360864</v>
      </c>
      <c r="J13" s="14">
        <f t="shared" si="2"/>
        <v>-88.091241811463576</v>
      </c>
      <c r="K13" s="14">
        <f t="shared" si="0"/>
        <v>-7.4226115248164479</v>
      </c>
      <c r="L13" s="15">
        <f t="shared" si="3"/>
        <v>-95.513853336280022</v>
      </c>
    </row>
    <row r="14" spans="1:12">
      <c r="A14" s="10">
        <v>10</v>
      </c>
      <c r="C14" s="1" t="s">
        <v>67</v>
      </c>
      <c r="D14" s="1" t="s">
        <v>49</v>
      </c>
      <c r="E14" s="99" t="s">
        <v>68</v>
      </c>
      <c r="F14" s="8">
        <v>2010</v>
      </c>
      <c r="G14" s="14">
        <v>221.79248596439012</v>
      </c>
      <c r="H14" s="14">
        <v>451.41257264520925</v>
      </c>
      <c r="I14" s="15">
        <f t="shared" si="1"/>
        <v>-229.62008668081913</v>
      </c>
      <c r="J14" s="14">
        <f t="shared" si="2"/>
        <v>-131.48109072956493</v>
      </c>
      <c r="K14" s="14">
        <f t="shared" si="0"/>
        <v>-11.07866161579873</v>
      </c>
      <c r="L14" s="15">
        <f t="shared" si="3"/>
        <v>-142.55975234536365</v>
      </c>
    </row>
    <row r="15" spans="1:12">
      <c r="A15" s="10">
        <v>11</v>
      </c>
      <c r="C15" s="6" t="s">
        <v>69</v>
      </c>
      <c r="D15" s="1" t="s">
        <v>49</v>
      </c>
      <c r="E15" s="99" t="s">
        <v>70</v>
      </c>
      <c r="F15" s="8">
        <v>2011</v>
      </c>
      <c r="G15" s="14">
        <v>2841.3986366510662</v>
      </c>
      <c r="H15" s="14">
        <v>6312.3510859624048</v>
      </c>
      <c r="I15" s="15">
        <f t="shared" si="1"/>
        <v>-3470.9524493113386</v>
      </c>
      <c r="J15" s="14">
        <f t="shared" si="2"/>
        <v>-1987.4768819344379</v>
      </c>
      <c r="K15" s="14">
        <f t="shared" si="0"/>
        <v>-167.46578326964919</v>
      </c>
      <c r="L15" s="15">
        <f t="shared" si="3"/>
        <v>-2154.942665204087</v>
      </c>
    </row>
    <row r="16" spans="1:12" ht="30">
      <c r="A16" s="10">
        <v>12</v>
      </c>
      <c r="C16" s="6" t="s">
        <v>71</v>
      </c>
      <c r="D16" s="1" t="s">
        <v>49</v>
      </c>
      <c r="E16" s="99" t="s">
        <v>72</v>
      </c>
      <c r="F16" s="8">
        <v>2012</v>
      </c>
      <c r="G16" s="14">
        <v>5428.887590266856</v>
      </c>
      <c r="H16" s="14">
        <v>14119.477269580728</v>
      </c>
      <c r="I16" s="15">
        <f t="shared" si="1"/>
        <v>-8690.5896793138709</v>
      </c>
      <c r="J16" s="14">
        <f t="shared" si="2"/>
        <v>-4976.2554602098598</v>
      </c>
      <c r="K16" s="14">
        <f t="shared" si="0"/>
        <v>-419.30174180582145</v>
      </c>
      <c r="L16" s="15">
        <f t="shared" si="3"/>
        <v>-5395.5572020156815</v>
      </c>
    </row>
    <row r="17" spans="1:12">
      <c r="A17" s="10">
        <v>13</v>
      </c>
      <c r="C17" s="6" t="s">
        <v>73</v>
      </c>
      <c r="D17" s="1" t="s">
        <v>49</v>
      </c>
      <c r="E17" s="99" t="s">
        <v>74</v>
      </c>
      <c r="F17" s="8">
        <v>2010</v>
      </c>
      <c r="G17" s="14">
        <v>42.306310324721395</v>
      </c>
      <c r="H17" s="14">
        <v>98.826515465657678</v>
      </c>
      <c r="I17" s="15">
        <f t="shared" si="1"/>
        <v>-56.520205140936284</v>
      </c>
      <c r="J17" s="14">
        <f t="shared" si="2"/>
        <v>-32.363624313577212</v>
      </c>
      <c r="K17" s="14">
        <f t="shared" si="0"/>
        <v>-2.7269749622660804</v>
      </c>
      <c r="L17" s="15">
        <f t="shared" si="3"/>
        <v>-35.090599275843289</v>
      </c>
    </row>
    <row r="18" spans="1:12">
      <c r="A18" s="10">
        <v>14</v>
      </c>
      <c r="C18" s="9" t="s">
        <v>75</v>
      </c>
      <c r="D18" s="1" t="s">
        <v>49</v>
      </c>
      <c r="E18" s="99" t="s">
        <v>76</v>
      </c>
      <c r="F18" s="8">
        <v>2013</v>
      </c>
      <c r="G18" s="14">
        <v>11842.837000335228</v>
      </c>
      <c r="H18" s="14">
        <v>13045.071256154697</v>
      </c>
      <c r="I18" s="15">
        <f t="shared" si="1"/>
        <v>-1202.2342558194687</v>
      </c>
      <c r="J18" s="14">
        <f t="shared" si="2"/>
        <v>-688.40262867470949</v>
      </c>
      <c r="K18" s="14">
        <f t="shared" si="0"/>
        <v>-58.005145349760411</v>
      </c>
      <c r="L18" s="15">
        <f t="shared" si="3"/>
        <v>-746.40777402446986</v>
      </c>
    </row>
    <row r="19" spans="1:12">
      <c r="A19" s="10">
        <v>15</v>
      </c>
      <c r="C19" s="9" t="s">
        <v>77</v>
      </c>
      <c r="D19" s="1" t="s">
        <v>49</v>
      </c>
      <c r="E19" s="99" t="s">
        <v>78</v>
      </c>
      <c r="F19" s="8">
        <v>2014</v>
      </c>
      <c r="G19" s="14">
        <v>4501.1935799388566</v>
      </c>
      <c r="H19" s="14">
        <v>10445.133558975474</v>
      </c>
      <c r="I19" s="15">
        <f t="shared" si="1"/>
        <v>-5943.9399790366178</v>
      </c>
      <c r="J19" s="14">
        <f t="shared" si="2"/>
        <v>-3403.5163167634328</v>
      </c>
      <c r="K19" s="14">
        <f t="shared" si="0"/>
        <v>-286.78196513312787</v>
      </c>
      <c r="L19" s="15">
        <f t="shared" si="3"/>
        <v>-3690.2982818965606</v>
      </c>
    </row>
    <row r="20" spans="1:12">
      <c r="A20" s="10">
        <v>16</v>
      </c>
      <c r="C20" s="9" t="s">
        <v>79</v>
      </c>
      <c r="D20" s="1" t="s">
        <v>49</v>
      </c>
      <c r="E20" s="99" t="s">
        <v>80</v>
      </c>
      <c r="F20" s="8">
        <v>2014</v>
      </c>
      <c r="G20" s="14">
        <v>10448.169416571403</v>
      </c>
      <c r="H20" s="14">
        <v>24042.219152229816</v>
      </c>
      <c r="I20" s="15">
        <f t="shared" si="1"/>
        <v>-13594.049735658413</v>
      </c>
      <c r="J20" s="14">
        <f t="shared" si="2"/>
        <v>-7783.9901226098855</v>
      </c>
      <c r="K20" s="14">
        <f t="shared" si="0"/>
        <v>-655.88285061072634</v>
      </c>
      <c r="L20" s="15">
        <f t="shared" si="3"/>
        <v>-8439.872973220612</v>
      </c>
    </row>
    <row r="21" spans="1:12">
      <c r="A21" s="10">
        <v>17</v>
      </c>
      <c r="C21" s="9" t="s">
        <v>81</v>
      </c>
      <c r="D21" s="1" t="s">
        <v>49</v>
      </c>
      <c r="E21" s="99" t="s">
        <v>5</v>
      </c>
      <c r="F21" s="8">
        <v>2015</v>
      </c>
      <c r="G21" s="14">
        <v>3165.9519321474449</v>
      </c>
      <c r="H21" s="14">
        <v>7865.0643298957239</v>
      </c>
      <c r="I21" s="15">
        <f t="shared" si="1"/>
        <v>-4699.1123977482785</v>
      </c>
      <c r="J21" s="14">
        <f t="shared" si="2"/>
        <v>-2690.7246332312061</v>
      </c>
      <c r="K21" s="14">
        <f t="shared" si="0"/>
        <v>-226.72178598043578</v>
      </c>
      <c r="L21" s="15">
        <f t="shared" si="3"/>
        <v>-2917.446419211642</v>
      </c>
    </row>
    <row r="22" spans="1:12">
      <c r="A22" s="10">
        <v>18</v>
      </c>
      <c r="C22" s="9" t="s">
        <v>82</v>
      </c>
      <c r="D22" s="1" t="s">
        <v>49</v>
      </c>
      <c r="E22" s="99" t="s">
        <v>6</v>
      </c>
      <c r="F22" s="8">
        <v>2014</v>
      </c>
      <c r="G22" s="14">
        <v>5978.8080391225149</v>
      </c>
      <c r="H22" s="14">
        <v>10252.564632057414</v>
      </c>
      <c r="I22" s="15">
        <f t="shared" si="1"/>
        <v>-4273.7565929348993</v>
      </c>
      <c r="J22" s="14">
        <f t="shared" si="2"/>
        <v>-2447.1647340366958</v>
      </c>
      <c r="K22" s="14">
        <f t="shared" si="0"/>
        <v>-206.19930863117173</v>
      </c>
      <c r="L22" s="15">
        <f t="shared" si="3"/>
        <v>-2653.3640426678676</v>
      </c>
    </row>
    <row r="23" spans="1:12">
      <c r="A23" s="10">
        <v>19</v>
      </c>
      <c r="C23" s="9" t="s">
        <v>83</v>
      </c>
      <c r="D23" s="1" t="s">
        <v>49</v>
      </c>
      <c r="E23" s="99" t="s">
        <v>7</v>
      </c>
      <c r="F23" s="8">
        <v>2017</v>
      </c>
      <c r="G23" s="14">
        <v>1147.3291373572806</v>
      </c>
      <c r="H23" s="14">
        <v>3057.0722964081324</v>
      </c>
      <c r="I23" s="15">
        <f t="shared" ref="I23:I28" si="4">+G23-H23</f>
        <v>-1909.7431590508518</v>
      </c>
      <c r="J23" s="14">
        <f t="shared" si="2"/>
        <v>-1093.5241650455562</v>
      </c>
      <c r="K23" s="14">
        <f t="shared" ref="K23:K28" si="5">+J23/$J$31*$K$31</f>
        <v>-92.140886008899074</v>
      </c>
      <c r="L23" s="15">
        <f t="shared" ref="L23:L28" si="6">+J23+K23</f>
        <v>-1185.6650510544553</v>
      </c>
    </row>
    <row r="24" spans="1:12">
      <c r="A24" s="10"/>
      <c r="C24" s="9" t="s">
        <v>84</v>
      </c>
      <c r="D24" s="1" t="s">
        <v>49</v>
      </c>
      <c r="E24" s="99" t="s">
        <v>85</v>
      </c>
      <c r="F24" s="8">
        <v>2017</v>
      </c>
      <c r="G24" s="14">
        <v>36555.792134272269</v>
      </c>
      <c r="H24" s="14">
        <v>32840.237425364336</v>
      </c>
      <c r="I24" s="15">
        <f t="shared" si="4"/>
        <v>3715.5547089079337</v>
      </c>
      <c r="J24" s="14">
        <f t="shared" si="2"/>
        <v>2127.5368059226253</v>
      </c>
      <c r="K24" s="14">
        <f t="shared" si="5"/>
        <v>179.26730161110532</v>
      </c>
      <c r="L24" s="15">
        <f t="shared" si="6"/>
        <v>2306.8041075337305</v>
      </c>
    </row>
    <row r="25" spans="1:12">
      <c r="A25" s="18"/>
      <c r="B25" s="19"/>
      <c r="C25" s="9" t="s">
        <v>86</v>
      </c>
      <c r="D25" s="1" t="s">
        <v>49</v>
      </c>
      <c r="E25" s="99" t="s">
        <v>87</v>
      </c>
      <c r="F25" s="8">
        <v>2017</v>
      </c>
      <c r="G25" s="14">
        <v>4623.3832338343173</v>
      </c>
      <c r="H25" s="14">
        <v>4442.9303829559158</v>
      </c>
      <c r="I25" s="15">
        <f t="shared" si="4"/>
        <v>180.45285087840148</v>
      </c>
      <c r="J25" s="14">
        <f t="shared" si="2"/>
        <v>103.32779680434496</v>
      </c>
      <c r="K25" s="14">
        <f t="shared" si="5"/>
        <v>8.7064511706544696</v>
      </c>
      <c r="L25" s="15">
        <f t="shared" si="6"/>
        <v>112.03424797499943</v>
      </c>
    </row>
    <row r="26" spans="1:12">
      <c r="A26" s="10"/>
      <c r="C26" s="9" t="s">
        <v>88</v>
      </c>
      <c r="D26" s="1" t="s">
        <v>49</v>
      </c>
      <c r="E26" s="99" t="s">
        <v>89</v>
      </c>
      <c r="F26" s="8">
        <v>2018</v>
      </c>
      <c r="G26" s="14">
        <v>0</v>
      </c>
      <c r="H26" s="14">
        <v>0</v>
      </c>
      <c r="I26" s="15">
        <f t="shared" si="4"/>
        <v>0</v>
      </c>
      <c r="J26" s="14">
        <f t="shared" si="2"/>
        <v>0</v>
      </c>
      <c r="K26" s="14">
        <f t="shared" si="5"/>
        <v>0</v>
      </c>
      <c r="L26" s="15">
        <f t="shared" si="6"/>
        <v>0</v>
      </c>
    </row>
    <row r="27" spans="1:12">
      <c r="A27" s="10"/>
      <c r="C27" s="9" t="s">
        <v>90</v>
      </c>
      <c r="D27" s="1" t="s">
        <v>49</v>
      </c>
      <c r="E27" s="99" t="s">
        <v>91</v>
      </c>
      <c r="F27" s="8">
        <v>2018</v>
      </c>
      <c r="G27" s="14">
        <v>0</v>
      </c>
      <c r="H27" s="14">
        <v>0</v>
      </c>
      <c r="I27" s="15">
        <f t="shared" si="4"/>
        <v>0</v>
      </c>
      <c r="J27" s="14">
        <f t="shared" si="2"/>
        <v>0</v>
      </c>
      <c r="K27" s="14">
        <f t="shared" si="5"/>
        <v>0</v>
      </c>
      <c r="L27" s="15">
        <f t="shared" si="6"/>
        <v>0</v>
      </c>
    </row>
    <row r="28" spans="1:12">
      <c r="A28" s="10">
        <v>20</v>
      </c>
      <c r="C28" s="9" t="s">
        <v>92</v>
      </c>
      <c r="D28" s="1" t="s">
        <v>49</v>
      </c>
      <c r="E28" s="99" t="s">
        <v>8</v>
      </c>
      <c r="F28" s="8">
        <v>2018</v>
      </c>
      <c r="G28" s="14">
        <v>0</v>
      </c>
      <c r="H28" s="14">
        <v>0</v>
      </c>
      <c r="I28" s="15">
        <f t="shared" si="4"/>
        <v>0</v>
      </c>
      <c r="J28" s="14">
        <f t="shared" si="2"/>
        <v>0</v>
      </c>
      <c r="K28" s="14">
        <f t="shared" si="5"/>
        <v>0</v>
      </c>
      <c r="L28" s="15">
        <f t="shared" si="6"/>
        <v>0</v>
      </c>
    </row>
    <row r="29" spans="1:12">
      <c r="A29" s="10"/>
      <c r="C29" s="10"/>
      <c r="D29" s="10"/>
      <c r="E29" s="10"/>
      <c r="F29" s="1"/>
    </row>
    <row r="30" spans="1:12">
      <c r="A30" s="11">
        <v>21</v>
      </c>
      <c r="B30" s="19"/>
      <c r="C30" s="18"/>
      <c r="D30" s="18"/>
      <c r="E30" s="20" t="s">
        <v>13</v>
      </c>
      <c r="F30" s="22"/>
      <c r="G30" s="13"/>
      <c r="H30" s="13"/>
      <c r="I30" s="13"/>
      <c r="J30" s="13"/>
      <c r="K30" s="13"/>
      <c r="L30" s="13"/>
    </row>
    <row r="31" spans="1:12">
      <c r="A31" s="10"/>
      <c r="C31" s="10"/>
      <c r="D31" s="10"/>
      <c r="E31" s="11"/>
      <c r="F31" s="10"/>
      <c r="G31" s="15">
        <f>SUM(G5:G30)</f>
        <v>-266418.05402883131</v>
      </c>
      <c r="H31" s="15">
        <f>SUM(H5:H30)</f>
        <v>-93731.398738103439</v>
      </c>
      <c r="I31" s="15">
        <f>SUM(I5:I30)</f>
        <v>-172686.65529072782</v>
      </c>
      <c r="J31" s="15">
        <f>SUM(J5:J30)</f>
        <v>-98880.851933594822</v>
      </c>
      <c r="K31" s="15">
        <f>+'2017 Interest Calculation'!P74</f>
        <v>-8331.7494004319742</v>
      </c>
      <c r="L31" s="15">
        <f>SUM(L5:L28)</f>
        <v>-107212.60133402683</v>
      </c>
    </row>
    <row r="32" spans="1:12">
      <c r="A32" s="10"/>
      <c r="C32" s="10"/>
      <c r="D32" s="10"/>
      <c r="F32" s="10"/>
    </row>
    <row r="34" spans="3:6">
      <c r="E34" s="12" t="s">
        <v>4</v>
      </c>
    </row>
    <row r="38" spans="3:6">
      <c r="C38" s="10"/>
      <c r="D38" s="10"/>
      <c r="E38" s="21"/>
      <c r="F38" s="23"/>
    </row>
  </sheetData>
  <pageMargins left="0.7" right="0.7" top="0.75" bottom="0.75" header="0.3" footer="0.3"/>
  <pageSetup scale="7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selection activeCell="E5" sqref="E5"/>
    </sheetView>
  </sheetViews>
  <sheetFormatPr defaultColWidth="9.140625" defaultRowHeight="12.75"/>
  <cols>
    <col min="1" max="1" width="1.7109375" style="27" customWidth="1"/>
    <col min="2" max="2" width="25.140625" style="27" customWidth="1"/>
    <col min="3" max="3" width="1.7109375" style="27" customWidth="1"/>
    <col min="4" max="4" width="21.28515625" style="27" customWidth="1"/>
    <col min="5" max="5" width="1.7109375" style="27" customWidth="1"/>
    <col min="6" max="6" width="22.28515625" style="27" customWidth="1"/>
    <col min="7" max="7" width="1.7109375" style="27" customWidth="1"/>
    <col min="8" max="8" width="17.28515625" style="27" customWidth="1"/>
    <col min="9" max="9" width="1.7109375" style="27" customWidth="1"/>
    <col min="10" max="10" width="15.5703125" style="27" customWidth="1"/>
    <col min="11" max="11" width="1.7109375" style="27" customWidth="1"/>
    <col min="12" max="12" width="15.85546875" style="27" customWidth="1"/>
    <col min="13" max="13" width="1.7109375" style="27" customWidth="1"/>
    <col min="14" max="14" width="13.5703125" style="27" customWidth="1"/>
    <col min="15" max="15" width="1.7109375" style="27" customWidth="1"/>
    <col min="16" max="16" width="14.140625" style="27" customWidth="1"/>
    <col min="17" max="17" width="1.7109375" style="27" customWidth="1"/>
    <col min="18" max="18" width="14.42578125" style="27" customWidth="1"/>
    <col min="19" max="19" width="7.7109375" style="27" bestFit="1" customWidth="1"/>
    <col min="20" max="20" width="6.140625" style="27" customWidth="1"/>
    <col min="21" max="16384" width="9.140625" style="27"/>
  </cols>
  <sheetData>
    <row r="1" spans="1:18" ht="15">
      <c r="A1" s="26"/>
    </row>
    <row r="2" spans="1:18" ht="15.75">
      <c r="A2" s="28"/>
    </row>
    <row r="3" spans="1:18" ht="15.75">
      <c r="A3" s="28"/>
    </row>
    <row r="4" spans="1:18" ht="15.75">
      <c r="B4" s="104" t="s">
        <v>17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ht="15.75">
      <c r="B5" s="105" t="s">
        <v>43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15.75">
      <c r="B6" s="106" t="s">
        <v>18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ht="16.5" thickBot="1">
      <c r="B7" s="29"/>
      <c r="C7" s="30"/>
      <c r="D7" s="30"/>
      <c r="E7" s="30"/>
      <c r="F7" s="30"/>
      <c r="G7" s="30"/>
      <c r="H7" s="30"/>
      <c r="I7" s="30"/>
      <c r="J7" s="30"/>
      <c r="K7" s="30"/>
      <c r="P7" s="30"/>
      <c r="Q7" s="30"/>
      <c r="R7" s="30"/>
    </row>
    <row r="8" spans="1:18" ht="60.75" customHeight="1">
      <c r="B8" s="29"/>
      <c r="C8" s="29"/>
      <c r="D8" s="29"/>
      <c r="E8" s="31"/>
      <c r="F8" s="32" t="s">
        <v>19</v>
      </c>
      <c r="G8" s="33"/>
      <c r="H8" s="34" t="s">
        <v>20</v>
      </c>
      <c r="I8" s="30"/>
      <c r="J8" s="35">
        <v>2017</v>
      </c>
      <c r="K8" s="30"/>
      <c r="P8" s="33"/>
      <c r="Q8" s="33"/>
      <c r="R8" s="33"/>
    </row>
    <row r="9" spans="1:18" ht="15.75">
      <c r="B9" s="29"/>
      <c r="C9" s="29"/>
      <c r="D9" s="29"/>
      <c r="E9" s="31"/>
      <c r="F9" s="36"/>
      <c r="G9" s="33"/>
      <c r="H9" s="37" t="s">
        <v>22</v>
      </c>
      <c r="I9" s="38"/>
      <c r="J9" s="39">
        <f>J8+1</f>
        <v>2018</v>
      </c>
      <c r="P9" s="33"/>
      <c r="Q9" s="33"/>
      <c r="R9" s="33"/>
    </row>
    <row r="10" spans="1:18" ht="16.5" thickBot="1">
      <c r="B10" s="29"/>
      <c r="C10" s="29"/>
      <c r="D10" s="29"/>
      <c r="E10" s="40"/>
      <c r="F10" s="41">
        <f>+'2017 Refund'!J31</f>
        <v>-98880.851933594822</v>
      </c>
      <c r="G10" s="42"/>
      <c r="H10" s="37" t="s">
        <v>22</v>
      </c>
      <c r="I10" s="38"/>
      <c r="J10" s="39">
        <f>J9+1</f>
        <v>2019</v>
      </c>
      <c r="P10" s="33"/>
      <c r="Q10" s="33"/>
      <c r="R10" s="33"/>
    </row>
    <row r="11" spans="1:18" ht="15.75">
      <c r="B11" s="29"/>
      <c r="C11" s="29"/>
      <c r="D11" s="29"/>
      <c r="E11" s="43"/>
      <c r="F11" s="43"/>
      <c r="G11" s="43"/>
      <c r="H11" s="45" t="s">
        <v>23</v>
      </c>
      <c r="I11" s="43"/>
      <c r="J11" s="46">
        <v>2020</v>
      </c>
      <c r="P11" s="33"/>
      <c r="Q11" s="33"/>
      <c r="R11" s="33"/>
    </row>
    <row r="12" spans="1:18" ht="16.5" thickBot="1">
      <c r="B12" s="47"/>
      <c r="C12" s="48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9"/>
      <c r="O12" s="49"/>
      <c r="P12" s="49"/>
      <c r="Q12" s="49"/>
      <c r="R12" s="49"/>
    </row>
    <row r="13" spans="1:18" ht="15.75">
      <c r="B13" s="50"/>
      <c r="C13" s="44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33"/>
      <c r="O13" s="33"/>
      <c r="P13" s="33"/>
      <c r="Q13" s="33"/>
      <c r="R13" s="33"/>
    </row>
    <row r="14" spans="1:18" ht="63">
      <c r="B14" s="51" t="s">
        <v>24</v>
      </c>
      <c r="C14" s="44"/>
      <c r="D14" s="52" t="s">
        <v>25</v>
      </c>
      <c r="E14" s="52"/>
      <c r="F14" s="52" t="s">
        <v>26</v>
      </c>
      <c r="G14" s="52"/>
      <c r="H14" s="52" t="s">
        <v>27</v>
      </c>
      <c r="I14" s="43"/>
      <c r="J14" s="53" t="s">
        <v>28</v>
      </c>
      <c r="K14" s="43"/>
      <c r="L14" s="52" t="s">
        <v>29</v>
      </c>
      <c r="M14" s="54"/>
      <c r="N14" s="53" t="s">
        <v>30</v>
      </c>
      <c r="O14" s="53"/>
      <c r="P14" s="52" t="s">
        <v>31</v>
      </c>
      <c r="Q14" s="55"/>
      <c r="R14" s="52" t="s">
        <v>32</v>
      </c>
    </row>
    <row r="15" spans="1:18" ht="15.75">
      <c r="B15" s="56"/>
      <c r="C15" s="44"/>
      <c r="D15" s="33"/>
      <c r="E15" s="33"/>
      <c r="F15" s="33"/>
      <c r="G15" s="33"/>
      <c r="H15" s="33"/>
      <c r="I15" s="57"/>
      <c r="J15" s="57"/>
      <c r="K15" s="57"/>
      <c r="N15" s="33"/>
      <c r="O15" s="33"/>
      <c r="P15" s="33"/>
      <c r="Q15" s="33"/>
      <c r="R15" s="33"/>
    </row>
    <row r="16" spans="1:18" ht="15.75">
      <c r="B16" s="58" t="s">
        <v>33</v>
      </c>
      <c r="C16" s="44"/>
      <c r="D16" s="44"/>
      <c r="E16" s="44"/>
      <c r="F16" s="44"/>
      <c r="G16" s="44"/>
      <c r="H16" s="44"/>
      <c r="I16" s="44"/>
      <c r="J16" s="44"/>
      <c r="K16" s="44"/>
      <c r="L16" s="33"/>
      <c r="M16" s="33"/>
      <c r="N16" s="54"/>
      <c r="O16" s="54"/>
      <c r="P16" s="44"/>
      <c r="Q16" s="44"/>
      <c r="R16" s="44"/>
    </row>
    <row r="17" spans="2:20" ht="15.75">
      <c r="B17" s="59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33"/>
      <c r="M17" s="33"/>
      <c r="N17" s="54"/>
      <c r="O17" s="54"/>
      <c r="P17" s="44"/>
      <c r="Q17" s="44"/>
      <c r="R17" s="44"/>
    </row>
    <row r="18" spans="2:20" ht="15.75">
      <c r="B18" s="60"/>
      <c r="C18" s="30"/>
      <c r="D18" s="61"/>
      <c r="E18" s="62"/>
      <c r="F18" s="61"/>
      <c r="G18" s="61"/>
      <c r="H18" s="61"/>
      <c r="I18" s="61"/>
      <c r="J18" s="61"/>
      <c r="K18" s="62"/>
      <c r="L18" s="63"/>
      <c r="M18" s="64"/>
      <c r="N18" s="61"/>
      <c r="O18" s="61"/>
      <c r="P18" s="61"/>
      <c r="Q18" s="61"/>
      <c r="R18" s="61"/>
    </row>
    <row r="19" spans="2:20" ht="15.75">
      <c r="B19" s="60"/>
      <c r="C19" s="30"/>
      <c r="D19" s="61"/>
      <c r="E19" s="62"/>
      <c r="F19" s="61"/>
      <c r="G19" s="61"/>
      <c r="H19" s="61"/>
      <c r="I19" s="61"/>
      <c r="J19" s="61"/>
      <c r="K19" s="62"/>
      <c r="L19" s="63"/>
      <c r="M19" s="65"/>
      <c r="N19" s="61"/>
      <c r="O19" s="61"/>
      <c r="P19" s="61"/>
      <c r="Q19" s="61"/>
      <c r="R19" s="61"/>
    </row>
    <row r="20" spans="2:20" ht="15.75">
      <c r="B20" s="60">
        <f>DATE($J$8,T20,5)</f>
        <v>42891</v>
      </c>
      <c r="C20" s="30"/>
      <c r="D20" s="61">
        <f>+F10/209*25</f>
        <v>-11827.853102104644</v>
      </c>
      <c r="E20" s="62"/>
      <c r="F20" s="61">
        <f>D19+F19</f>
        <v>0</v>
      </c>
      <c r="G20" s="61"/>
      <c r="H20" s="61">
        <f>SUM($N$18:$N$18)</f>
        <v>0</v>
      </c>
      <c r="I20" s="61"/>
      <c r="J20" s="61">
        <f t="shared" ref="J20:J25" si="0">F20+H20</f>
        <v>0</v>
      </c>
      <c r="K20" s="62"/>
      <c r="L20" s="63">
        <v>3.0000000000000001E-3</v>
      </c>
      <c r="M20" s="65"/>
      <c r="N20" s="61">
        <f t="shared" ref="N20:N26" si="1">J20*L20</f>
        <v>0</v>
      </c>
      <c r="O20" s="61"/>
      <c r="P20" s="61"/>
      <c r="Q20" s="61"/>
      <c r="R20" s="61">
        <f>SUM($D$18:D20)+SUM($N$18:N20)</f>
        <v>-11827.853102104644</v>
      </c>
      <c r="T20" s="27">
        <v>6</v>
      </c>
    </row>
    <row r="21" spans="2:20" ht="15.75">
      <c r="B21" s="60">
        <f t="shared" ref="B21:B26" si="2">DATE($J$8,T21,1)</f>
        <v>42917</v>
      </c>
      <c r="C21" s="30"/>
      <c r="D21" s="61">
        <f>+$F$10/209*31</f>
        <v>-14666.537846609757</v>
      </c>
      <c r="E21" s="62"/>
      <c r="F21" s="61">
        <f t="shared" ref="F21:F24" si="3">D20+F20</f>
        <v>-11827.853102104644</v>
      </c>
      <c r="G21" s="61"/>
      <c r="H21" s="61">
        <f>$H$20+SUM($N$19:$N$20)</f>
        <v>0</v>
      </c>
      <c r="I21" s="61"/>
      <c r="J21" s="61">
        <f t="shared" si="0"/>
        <v>-11827.853102104644</v>
      </c>
      <c r="K21" s="62"/>
      <c r="L21" s="63">
        <v>3.3999999999999998E-3</v>
      </c>
      <c r="M21" s="65"/>
      <c r="N21" s="61">
        <f t="shared" si="1"/>
        <v>-40.214700547155786</v>
      </c>
      <c r="O21" s="61"/>
      <c r="P21" s="61"/>
      <c r="Q21" s="61"/>
      <c r="R21" s="61">
        <f>SUM($D$18:D21)+SUM($N$18:N21)</f>
        <v>-26534.605649261557</v>
      </c>
      <c r="T21" s="27">
        <v>7</v>
      </c>
    </row>
    <row r="22" spans="2:20" ht="15.75">
      <c r="B22" s="60">
        <f t="shared" si="2"/>
        <v>42948</v>
      </c>
      <c r="C22" s="30"/>
      <c r="D22" s="61">
        <f>+$F$10/209*31</f>
        <v>-14666.537846609757</v>
      </c>
      <c r="E22" s="62"/>
      <c r="F22" s="61">
        <f t="shared" si="3"/>
        <v>-26494.390948714401</v>
      </c>
      <c r="G22" s="61"/>
      <c r="H22" s="61">
        <f>$H$20+SUM($N$19:$N$20)</f>
        <v>0</v>
      </c>
      <c r="I22" s="61"/>
      <c r="J22" s="61">
        <f t="shared" si="0"/>
        <v>-26494.390948714401</v>
      </c>
      <c r="K22" s="62"/>
      <c r="L22" s="63">
        <v>3.3999999999999998E-3</v>
      </c>
      <c r="M22" s="65"/>
      <c r="N22" s="61">
        <f t="shared" si="1"/>
        <v>-90.080929225628964</v>
      </c>
      <c r="O22" s="61"/>
      <c r="P22" s="61"/>
      <c r="Q22" s="61"/>
      <c r="R22" s="61">
        <f>SUM($D$18:D22)+SUM($N$18:N22)</f>
        <v>-41291.224425096945</v>
      </c>
      <c r="T22" s="27">
        <v>8</v>
      </c>
    </row>
    <row r="23" spans="2:20" ht="15.75">
      <c r="B23" s="60">
        <f t="shared" si="2"/>
        <v>42979</v>
      </c>
      <c r="C23" s="30"/>
      <c r="D23" s="61">
        <f>+$F$10/209*30</f>
        <v>-14193.423722525571</v>
      </c>
      <c r="E23" s="62"/>
      <c r="F23" s="61">
        <f t="shared" si="3"/>
        <v>-41160.928795324158</v>
      </c>
      <c r="G23" s="61"/>
      <c r="H23" s="61">
        <f>$H$20+SUM($N$19:$N$20)</f>
        <v>0</v>
      </c>
      <c r="I23" s="61"/>
      <c r="J23" s="61">
        <f t="shared" si="0"/>
        <v>-41160.928795324158</v>
      </c>
      <c r="K23" s="62"/>
      <c r="L23" s="63">
        <v>3.3E-3</v>
      </c>
      <c r="M23" s="65"/>
      <c r="N23" s="61">
        <f t="shared" si="1"/>
        <v>-135.83106502456971</v>
      </c>
      <c r="O23" s="61"/>
      <c r="P23" s="61"/>
      <c r="Q23" s="61"/>
      <c r="R23" s="61">
        <f>SUM($D$18:D23)+SUM($N$18:N23)</f>
        <v>-55620.479212647086</v>
      </c>
      <c r="T23" s="27">
        <v>9</v>
      </c>
    </row>
    <row r="24" spans="2:20" ht="15.75">
      <c r="B24" s="60">
        <f t="shared" si="2"/>
        <v>43009</v>
      </c>
      <c r="C24" s="30"/>
      <c r="D24" s="61">
        <f>+$F$10/209*31</f>
        <v>-14666.537846609757</v>
      </c>
      <c r="E24" s="62"/>
      <c r="F24" s="61">
        <f t="shared" si="3"/>
        <v>-55354.352517849729</v>
      </c>
      <c r="G24" s="61"/>
      <c r="H24" s="61">
        <f>$H$23+SUM($N$21:$N$23)</f>
        <v>-266.1266947973545</v>
      </c>
      <c r="I24" s="61"/>
      <c r="J24" s="61">
        <f t="shared" si="0"/>
        <v>-55620.479212647086</v>
      </c>
      <c r="K24" s="62"/>
      <c r="L24" s="63">
        <v>3.5999999999999999E-3</v>
      </c>
      <c r="M24" s="65"/>
      <c r="N24" s="61">
        <f t="shared" si="1"/>
        <v>-200.23372516552951</v>
      </c>
      <c r="O24" s="61"/>
      <c r="P24" s="61"/>
      <c r="Q24" s="61"/>
      <c r="R24" s="61">
        <f>SUM($D$18:D24)+SUM($N$18:N24)</f>
        <v>-70487.250784422373</v>
      </c>
      <c r="T24" s="27">
        <v>10</v>
      </c>
    </row>
    <row r="25" spans="2:20" ht="15.75">
      <c r="B25" s="60">
        <f t="shared" si="2"/>
        <v>43040</v>
      </c>
      <c r="C25" s="30"/>
      <c r="D25" s="61">
        <f>+$F$10/209*30</f>
        <v>-14193.423722525571</v>
      </c>
      <c r="E25" s="62"/>
      <c r="F25" s="61">
        <f>D24+F24</f>
        <v>-70020.890364459483</v>
      </c>
      <c r="G25" s="61"/>
      <c r="H25" s="61">
        <f>$H$23+SUM($N$21:$N$23)</f>
        <v>-266.1266947973545</v>
      </c>
      <c r="I25" s="61"/>
      <c r="J25" s="61">
        <f t="shared" si="0"/>
        <v>-70287.017059256832</v>
      </c>
      <c r="K25" s="62"/>
      <c r="L25" s="63">
        <v>3.5000000000000001E-3</v>
      </c>
      <c r="M25" s="65"/>
      <c r="N25" s="61">
        <f t="shared" si="1"/>
        <v>-246.00455970739893</v>
      </c>
      <c r="O25" s="61"/>
      <c r="P25" s="61"/>
      <c r="Q25" s="61"/>
      <c r="R25" s="61">
        <f>SUM($D$18:D25)+SUM($N$18:N25)</f>
        <v>-84926.679066655328</v>
      </c>
      <c r="T25" s="27">
        <v>11</v>
      </c>
    </row>
    <row r="26" spans="2:20" ht="15.75">
      <c r="B26" s="60">
        <f t="shared" si="2"/>
        <v>43070</v>
      </c>
      <c r="C26" s="30"/>
      <c r="D26" s="61">
        <f>+$F$10/209*31</f>
        <v>-14666.537846609757</v>
      </c>
      <c r="E26" s="62"/>
      <c r="F26" s="61">
        <f>D25+F25</f>
        <v>-84214.314086985047</v>
      </c>
      <c r="G26" s="61"/>
      <c r="H26" s="61">
        <f>$H$23+SUM($N$21:$N$23)</f>
        <v>-266.1266947973545</v>
      </c>
      <c r="I26" s="61"/>
      <c r="J26" s="61">
        <f>F26+H26</f>
        <v>-84480.440781782396</v>
      </c>
      <c r="K26" s="62"/>
      <c r="L26" s="63">
        <v>3.5999999999999999E-3</v>
      </c>
      <c r="M26" s="65"/>
      <c r="N26" s="61">
        <f t="shared" si="1"/>
        <v>-304.1295868144166</v>
      </c>
      <c r="O26" s="66"/>
      <c r="P26" s="61"/>
      <c r="Q26" s="61"/>
      <c r="R26" s="61">
        <f>SUM($D$18:D26)+SUM($N$18:N26)</f>
        <v>-99897.346500079511</v>
      </c>
      <c r="T26" s="27">
        <v>12</v>
      </c>
    </row>
    <row r="27" spans="2:20" ht="15.75">
      <c r="B27" s="30"/>
      <c r="C27" s="30"/>
      <c r="D27" s="61"/>
      <c r="E27" s="62"/>
      <c r="F27" s="61"/>
      <c r="G27" s="61"/>
      <c r="H27" s="61"/>
      <c r="I27" s="61"/>
      <c r="J27" s="61"/>
      <c r="K27" s="62"/>
      <c r="L27" s="67"/>
      <c r="M27" s="68"/>
      <c r="N27" s="66"/>
      <c r="O27" s="66"/>
      <c r="P27" s="61"/>
      <c r="Q27" s="61"/>
      <c r="R27" s="69"/>
    </row>
    <row r="28" spans="2:20" ht="15.75">
      <c r="B28" s="59" t="s">
        <v>35</v>
      </c>
      <c r="C28" s="30"/>
      <c r="D28" s="61"/>
      <c r="E28" s="62"/>
      <c r="F28" s="61"/>
      <c r="G28" s="61"/>
      <c r="H28" s="61"/>
      <c r="I28" s="61"/>
      <c r="J28" s="61"/>
      <c r="K28" s="62"/>
      <c r="L28" s="44"/>
      <c r="M28" s="30"/>
      <c r="N28" s="61"/>
      <c r="O28" s="61"/>
      <c r="P28" s="61" t="s">
        <v>21</v>
      </c>
      <c r="Q28" s="61"/>
      <c r="R28" s="70"/>
    </row>
    <row r="29" spans="2:20" ht="15.75">
      <c r="B29" s="60">
        <f t="shared" ref="B29:B40" si="4">DATE($J$9,T29,1)</f>
        <v>43101</v>
      </c>
      <c r="C29" s="30"/>
      <c r="D29" s="61">
        <v>0</v>
      </c>
      <c r="E29" s="62"/>
      <c r="F29" s="61">
        <f>D26+F26</f>
        <v>-98880.851933594808</v>
      </c>
      <c r="G29" s="61"/>
      <c r="H29" s="61">
        <f>$H$26+SUM($N$24:$N$26)</f>
        <v>-1016.4945664846996</v>
      </c>
      <c r="I29" s="61"/>
      <c r="J29" s="61">
        <f>F29+H29</f>
        <v>-99897.346500079511</v>
      </c>
      <c r="K29" s="62"/>
      <c r="L29" s="63">
        <v>3.5999999999999999E-3</v>
      </c>
      <c r="M29" s="64"/>
      <c r="N29" s="61">
        <f t="shared" ref="N29:N40" si="5">J29*L29</f>
        <v>-359.63044740028624</v>
      </c>
      <c r="O29" s="61"/>
      <c r="P29" s="61"/>
      <c r="Q29" s="61"/>
      <c r="R29" s="61">
        <f>SUM($D$18:D29)+SUM($N$18:N29)</f>
        <v>-100256.97694747979</v>
      </c>
      <c r="T29" s="27">
        <v>1</v>
      </c>
    </row>
    <row r="30" spans="2:20" ht="15.75">
      <c r="B30" s="60">
        <f t="shared" si="4"/>
        <v>43132</v>
      </c>
      <c r="C30" s="30"/>
      <c r="D30" s="61">
        <v>0</v>
      </c>
      <c r="E30" s="62"/>
      <c r="F30" s="61">
        <f>D29+F29</f>
        <v>-98880.851933594808</v>
      </c>
      <c r="G30" s="61"/>
      <c r="H30" s="61">
        <f>$H$26+SUM($N$24:$N$26)</f>
        <v>-1016.4945664846996</v>
      </c>
      <c r="I30" s="61"/>
      <c r="J30" s="61">
        <f>F30+H30</f>
        <v>-99897.346500079511</v>
      </c>
      <c r="K30" s="62"/>
      <c r="L30" s="63">
        <v>3.3E-3</v>
      </c>
      <c r="M30" s="65"/>
      <c r="N30" s="61">
        <f t="shared" si="5"/>
        <v>-329.66124345026236</v>
      </c>
      <c r="O30" s="61"/>
      <c r="P30" s="61"/>
      <c r="Q30" s="61"/>
      <c r="R30" s="61">
        <f>SUM($D$18:D30)+SUM($N$18:N30)</f>
        <v>-100586.63819093005</v>
      </c>
      <c r="T30" s="27">
        <v>2</v>
      </c>
    </row>
    <row r="31" spans="2:20" ht="15.75">
      <c r="B31" s="60">
        <f t="shared" si="4"/>
        <v>43160</v>
      </c>
      <c r="C31" s="30"/>
      <c r="D31" s="61">
        <v>0</v>
      </c>
      <c r="E31" s="62"/>
      <c r="F31" s="61">
        <f t="shared" ref="F31:F39" si="6">D30+F30</f>
        <v>-98880.851933594808</v>
      </c>
      <c r="G31" s="61"/>
      <c r="H31" s="61">
        <f>$H$26+SUM($N$24:$N$26)</f>
        <v>-1016.4945664846996</v>
      </c>
      <c r="I31" s="61"/>
      <c r="J31" s="61">
        <f t="shared" ref="J31:J37" si="7">F31+H31</f>
        <v>-99897.346500079511</v>
      </c>
      <c r="K31" s="62"/>
      <c r="L31" s="63">
        <v>3.5999999999999999E-3</v>
      </c>
      <c r="M31" s="65"/>
      <c r="N31" s="61">
        <f t="shared" si="5"/>
        <v>-359.63044740028624</v>
      </c>
      <c r="O31" s="61"/>
      <c r="P31" s="61"/>
      <c r="Q31" s="61"/>
      <c r="R31" s="61">
        <f>SUM($D$18:D31)+SUM($N$18:N31)</f>
        <v>-100946.26863833034</v>
      </c>
      <c r="T31" s="27">
        <v>3</v>
      </c>
    </row>
    <row r="32" spans="2:20" ht="15.75">
      <c r="B32" s="60">
        <f t="shared" si="4"/>
        <v>43191</v>
      </c>
      <c r="C32" s="30"/>
      <c r="D32" s="61">
        <v>0</v>
      </c>
      <c r="E32" s="62"/>
      <c r="F32" s="61">
        <f t="shared" si="6"/>
        <v>-98880.851933594808</v>
      </c>
      <c r="G32" s="61"/>
      <c r="H32" s="61">
        <f>$H$31+SUM($N$29:$N$31)</f>
        <v>-2065.4167047355345</v>
      </c>
      <c r="I32" s="61"/>
      <c r="J32" s="61">
        <f>F32+H32</f>
        <v>-100946.26863833034</v>
      </c>
      <c r="K32" s="62"/>
      <c r="L32" s="63">
        <v>3.7000000000000002E-3</v>
      </c>
      <c r="M32" s="65"/>
      <c r="N32" s="61">
        <f t="shared" si="5"/>
        <v>-373.50119396182225</v>
      </c>
      <c r="O32" s="61"/>
      <c r="P32" s="61"/>
      <c r="Q32" s="61"/>
      <c r="R32" s="61">
        <f>SUM($D$18:D32)+SUM($N$18:N32)</f>
        <v>-101319.76983229216</v>
      </c>
      <c r="T32" s="27">
        <v>4</v>
      </c>
    </row>
    <row r="33" spans="2:20" ht="15.75">
      <c r="B33" s="60">
        <f t="shared" si="4"/>
        <v>43221</v>
      </c>
      <c r="C33" s="30"/>
      <c r="D33" s="61">
        <v>0</v>
      </c>
      <c r="E33" s="62"/>
      <c r="F33" s="61">
        <f t="shared" si="6"/>
        <v>-98880.851933594808</v>
      </c>
      <c r="G33" s="61"/>
      <c r="H33" s="61">
        <f>$H$31+SUM($N$29:$N$31)</f>
        <v>-2065.4167047355345</v>
      </c>
      <c r="I33" s="61"/>
      <c r="J33" s="61">
        <f t="shared" si="7"/>
        <v>-100946.26863833034</v>
      </c>
      <c r="K33" s="62"/>
      <c r="L33" s="63">
        <v>3.8E-3</v>
      </c>
      <c r="M33" s="65"/>
      <c r="N33" s="61">
        <f t="shared" si="5"/>
        <v>-383.59582082565527</v>
      </c>
      <c r="O33" s="61"/>
      <c r="P33" s="61"/>
      <c r="Q33" s="61"/>
      <c r="R33" s="61">
        <f>SUM($D$18:D33)+SUM($N$18:N33)</f>
        <v>-101703.36565311781</v>
      </c>
      <c r="T33" s="27">
        <v>5</v>
      </c>
    </row>
    <row r="34" spans="2:20" ht="15.75">
      <c r="B34" s="60">
        <f t="shared" si="4"/>
        <v>43252</v>
      </c>
      <c r="C34" s="30"/>
      <c r="D34" s="61">
        <v>0</v>
      </c>
      <c r="E34" s="62"/>
      <c r="F34" s="61">
        <f t="shared" si="6"/>
        <v>-98880.851933594808</v>
      </c>
      <c r="G34" s="61"/>
      <c r="H34" s="61">
        <f>$H$31+SUM($N$29:$N$31)</f>
        <v>-2065.4167047355345</v>
      </c>
      <c r="I34" s="61"/>
      <c r="J34" s="61">
        <f t="shared" si="7"/>
        <v>-100946.26863833034</v>
      </c>
      <c r="K34" s="62"/>
      <c r="L34" s="63">
        <v>3.7000000000000002E-3</v>
      </c>
      <c r="M34" s="65"/>
      <c r="N34" s="61">
        <f t="shared" si="5"/>
        <v>-373.50119396182225</v>
      </c>
      <c r="O34" s="61"/>
      <c r="P34" s="61"/>
      <c r="Q34" s="61"/>
      <c r="R34" s="61">
        <f>SUM($D$18:D34)+SUM($N$18:N34)</f>
        <v>-102076.86684707964</v>
      </c>
      <c r="T34" s="27">
        <v>6</v>
      </c>
    </row>
    <row r="35" spans="2:20" ht="15.75">
      <c r="B35" s="60">
        <f t="shared" si="4"/>
        <v>43282</v>
      </c>
      <c r="C35" s="30"/>
      <c r="D35" s="61">
        <v>0</v>
      </c>
      <c r="E35" s="62"/>
      <c r="F35" s="61">
        <f t="shared" si="6"/>
        <v>-98880.851933594808</v>
      </c>
      <c r="G35" s="61"/>
      <c r="H35" s="61">
        <f>$H$34+SUM($N$32:$N$34)</f>
        <v>-3196.0149134848343</v>
      </c>
      <c r="I35" s="61"/>
      <c r="J35" s="61">
        <f>F35+H35</f>
        <v>-102076.86684707964</v>
      </c>
      <c r="K35" s="62"/>
      <c r="L35" s="63">
        <v>4.0000000000000001E-3</v>
      </c>
      <c r="M35" s="65"/>
      <c r="N35" s="61">
        <f t="shared" si="5"/>
        <v>-408.30746738831857</v>
      </c>
      <c r="O35" s="61"/>
      <c r="P35" s="61"/>
      <c r="Q35" s="61"/>
      <c r="R35" s="61">
        <f>SUM($D$18:D35)+SUM($N$18:N35)</f>
        <v>-102485.17431446796</v>
      </c>
      <c r="T35" s="27">
        <v>7</v>
      </c>
    </row>
    <row r="36" spans="2:20" ht="15.75">
      <c r="B36" s="60">
        <f t="shared" si="4"/>
        <v>43313</v>
      </c>
      <c r="C36" s="30"/>
      <c r="D36" s="61">
        <v>0</v>
      </c>
      <c r="E36" s="62"/>
      <c r="F36" s="61">
        <f t="shared" si="6"/>
        <v>-98880.851933594808</v>
      </c>
      <c r="G36" s="61"/>
      <c r="H36" s="61">
        <f>$H$34+SUM($N$32:$N$34)</f>
        <v>-3196.0149134848343</v>
      </c>
      <c r="I36" s="61"/>
      <c r="J36" s="61">
        <f t="shared" si="7"/>
        <v>-102076.86684707964</v>
      </c>
      <c r="K36" s="62"/>
      <c r="L36" s="63">
        <v>4.0000000000000001E-3</v>
      </c>
      <c r="M36" s="65"/>
      <c r="N36" s="61">
        <f t="shared" si="5"/>
        <v>-408.30746738831857</v>
      </c>
      <c r="O36" s="61"/>
      <c r="P36" s="61"/>
      <c r="Q36" s="61"/>
      <c r="R36" s="61">
        <f>SUM($D$18:D36)+SUM($N$18:N36)</f>
        <v>-102893.48178185627</v>
      </c>
      <c r="T36" s="27">
        <v>8</v>
      </c>
    </row>
    <row r="37" spans="2:20" ht="15.75">
      <c r="B37" s="60">
        <f t="shared" si="4"/>
        <v>43344</v>
      </c>
      <c r="C37" s="30"/>
      <c r="D37" s="61">
        <v>0</v>
      </c>
      <c r="E37" s="62"/>
      <c r="F37" s="61">
        <f t="shared" si="6"/>
        <v>-98880.851933594808</v>
      </c>
      <c r="G37" s="61"/>
      <c r="H37" s="61">
        <f>$H$34+SUM($N$32:$N$34)</f>
        <v>-3196.0149134848343</v>
      </c>
      <c r="I37" s="61"/>
      <c r="J37" s="61">
        <f t="shared" si="7"/>
        <v>-102076.86684707964</v>
      </c>
      <c r="K37" s="62"/>
      <c r="L37" s="63">
        <v>3.8999999999999998E-3</v>
      </c>
      <c r="M37" s="65"/>
      <c r="N37" s="61">
        <f t="shared" si="5"/>
        <v>-398.09978070361058</v>
      </c>
      <c r="O37" s="61"/>
      <c r="P37" s="61"/>
      <c r="Q37" s="61"/>
      <c r="R37" s="61">
        <f>SUM($D$18:D37)+SUM($N$18:N37)</f>
        <v>-103291.58156255989</v>
      </c>
      <c r="T37" s="27">
        <v>9</v>
      </c>
    </row>
    <row r="38" spans="2:20" ht="15.75">
      <c r="B38" s="60">
        <f t="shared" si="4"/>
        <v>43374</v>
      </c>
      <c r="C38" s="30"/>
      <c r="D38" s="61">
        <v>0</v>
      </c>
      <c r="E38" s="62"/>
      <c r="F38" s="61">
        <f t="shared" si="6"/>
        <v>-98880.851933594808</v>
      </c>
      <c r="G38" s="61"/>
      <c r="H38" s="61">
        <f>$H$37+SUM($N$35:$N$37)</f>
        <v>-4410.7296289650822</v>
      </c>
      <c r="I38" s="61"/>
      <c r="J38" s="61">
        <f>F38+H38</f>
        <v>-103291.58156255989</v>
      </c>
      <c r="K38" s="62"/>
      <c r="L38" s="63">
        <v>4.1999999999999997E-3</v>
      </c>
      <c r="M38" s="65"/>
      <c r="N38" s="61">
        <f t="shared" si="5"/>
        <v>-433.82464256275154</v>
      </c>
      <c r="O38" s="61"/>
      <c r="P38" s="61"/>
      <c r="Q38" s="61"/>
      <c r="R38" s="61">
        <f>SUM($D$18:D38)+SUM($N$18:N38)</f>
        <v>-103725.40620512264</v>
      </c>
      <c r="T38" s="27">
        <v>10</v>
      </c>
    </row>
    <row r="39" spans="2:20" ht="15.75">
      <c r="B39" s="60">
        <f t="shared" si="4"/>
        <v>43405</v>
      </c>
      <c r="C39" s="30"/>
      <c r="D39" s="61">
        <v>0</v>
      </c>
      <c r="E39" s="62"/>
      <c r="F39" s="61">
        <f t="shared" si="6"/>
        <v>-98880.851933594808</v>
      </c>
      <c r="G39" s="61"/>
      <c r="H39" s="61">
        <f>$H$37+SUM($N$35:$N$37)</f>
        <v>-4410.7296289650822</v>
      </c>
      <c r="I39" s="61"/>
      <c r="J39" s="61">
        <f>F39+H39</f>
        <v>-103291.58156255989</v>
      </c>
      <c r="K39" s="62"/>
      <c r="L39" s="63">
        <v>4.1000000000000003E-3</v>
      </c>
      <c r="M39" s="65"/>
      <c r="N39" s="61">
        <f t="shared" si="5"/>
        <v>-423.49548440649556</v>
      </c>
      <c r="O39" s="61"/>
      <c r="P39" s="61"/>
      <c r="Q39" s="61"/>
      <c r="R39" s="61">
        <f>SUM($D$18:D39)+SUM($N$18:N39)</f>
        <v>-104148.90168952914</v>
      </c>
      <c r="T39" s="27">
        <v>11</v>
      </c>
    </row>
    <row r="40" spans="2:20" ht="15.75">
      <c r="B40" s="60">
        <f t="shared" si="4"/>
        <v>43435</v>
      </c>
      <c r="C40" s="30"/>
      <c r="D40" s="61">
        <v>0</v>
      </c>
      <c r="E40" s="62"/>
      <c r="F40" s="61">
        <f>D39+F39</f>
        <v>-98880.851933594808</v>
      </c>
      <c r="G40" s="61"/>
      <c r="H40" s="61">
        <f>$H$37+SUM($N$35:$N$37)</f>
        <v>-4410.7296289650822</v>
      </c>
      <c r="I40" s="61"/>
      <c r="J40" s="61">
        <f>F40+H40</f>
        <v>-103291.58156255989</v>
      </c>
      <c r="K40" s="62"/>
      <c r="L40" s="63">
        <v>4.1999999999999997E-3</v>
      </c>
      <c r="M40" s="65"/>
      <c r="N40" s="61">
        <f t="shared" si="5"/>
        <v>-433.82464256275154</v>
      </c>
      <c r="O40" s="66"/>
      <c r="P40" s="61"/>
      <c r="Q40" s="61"/>
      <c r="R40" s="61">
        <f>SUM($D$18:D40)+SUM($N$18:N40)</f>
        <v>-104582.72633209189</v>
      </c>
      <c r="T40" s="27">
        <v>12</v>
      </c>
    </row>
    <row r="41" spans="2:20" ht="15.75">
      <c r="B41" s="30"/>
      <c r="C41" s="30"/>
      <c r="D41" s="61"/>
      <c r="E41" s="43"/>
      <c r="F41" s="61"/>
      <c r="G41" s="61"/>
      <c r="H41" s="61"/>
      <c r="I41" s="61"/>
      <c r="J41" s="61"/>
      <c r="K41" s="43"/>
      <c r="L41" s="44"/>
      <c r="M41" s="30"/>
      <c r="N41" s="71"/>
      <c r="O41" s="71"/>
      <c r="P41" s="61"/>
      <c r="Q41" s="61"/>
      <c r="R41" s="61"/>
      <c r="T41" s="72"/>
    </row>
    <row r="42" spans="2:20" ht="15.75">
      <c r="B42" s="59" t="s">
        <v>35</v>
      </c>
      <c r="C42" s="30"/>
      <c r="D42" s="61"/>
      <c r="E42" s="62"/>
      <c r="F42" s="61"/>
      <c r="G42" s="61"/>
      <c r="H42" s="61"/>
      <c r="I42" s="61"/>
      <c r="J42" s="61"/>
      <c r="K42" s="62"/>
      <c r="L42" s="44"/>
      <c r="M42" s="30"/>
      <c r="N42" s="61"/>
      <c r="O42" s="61"/>
      <c r="P42" s="61" t="s">
        <v>21</v>
      </c>
      <c r="Q42" s="61"/>
      <c r="R42" s="70"/>
    </row>
    <row r="43" spans="2:20" ht="15.75">
      <c r="B43" s="60">
        <f>DATE($J$10,T43,1)</f>
        <v>43466</v>
      </c>
      <c r="C43" s="30"/>
      <c r="D43" s="61">
        <v>0</v>
      </c>
      <c r="E43" s="62"/>
      <c r="F43" s="61">
        <f>D40+F40</f>
        <v>-98880.851933594808</v>
      </c>
      <c r="G43" s="61"/>
      <c r="H43" s="61">
        <f>$H$26+SUM($N$24:$N$26)</f>
        <v>-1016.4945664846996</v>
      </c>
      <c r="I43" s="61"/>
      <c r="J43" s="61">
        <f>F43+H43</f>
        <v>-99897.346500079511</v>
      </c>
      <c r="K43" s="62"/>
      <c r="L43" s="63">
        <v>3.8416666666666668E-3</v>
      </c>
      <c r="M43" s="64"/>
      <c r="N43" s="61">
        <f t="shared" ref="N43:N54" si="8">J43*L43</f>
        <v>-383.77230613780546</v>
      </c>
      <c r="O43" s="61"/>
      <c r="P43" s="61"/>
      <c r="Q43" s="61"/>
      <c r="R43" s="61">
        <f>SUM($D$18:D43)+SUM($N$18:N43)</f>
        <v>-104966.49863822969</v>
      </c>
      <c r="T43" s="27">
        <v>1</v>
      </c>
    </row>
    <row r="44" spans="2:20" ht="15.75">
      <c r="B44" s="60">
        <f t="shared" ref="B44:B54" si="9">DATE($J$10,T44,1)</f>
        <v>43497</v>
      </c>
      <c r="C44" s="30"/>
      <c r="D44" s="61">
        <v>0</v>
      </c>
      <c r="E44" s="62"/>
      <c r="F44" s="61">
        <f>D43+F43</f>
        <v>-98880.851933594808</v>
      </c>
      <c r="G44" s="61"/>
      <c r="H44" s="61">
        <f>$H$26+SUM($N$24:$N$26)</f>
        <v>-1016.4945664846996</v>
      </c>
      <c r="I44" s="61"/>
      <c r="J44" s="61">
        <f>F44+H44</f>
        <v>-99897.346500079511</v>
      </c>
      <c r="K44" s="62"/>
      <c r="L44" s="63">
        <v>3.8416666666666668E-3</v>
      </c>
      <c r="M44" s="65"/>
      <c r="N44" s="61">
        <f t="shared" si="8"/>
        <v>-383.77230613780546</v>
      </c>
      <c r="O44" s="61"/>
      <c r="P44" s="61"/>
      <c r="Q44" s="61"/>
      <c r="R44" s="61">
        <f>SUM($D$18:D44)+SUM($N$18:N44)</f>
        <v>-105350.2709443675</v>
      </c>
      <c r="T44" s="27">
        <v>2</v>
      </c>
    </row>
    <row r="45" spans="2:20" ht="15.75">
      <c r="B45" s="60">
        <f t="shared" si="9"/>
        <v>43525</v>
      </c>
      <c r="C45" s="30"/>
      <c r="D45" s="61">
        <v>0</v>
      </c>
      <c r="E45" s="62"/>
      <c r="F45" s="61">
        <f t="shared" ref="F45:F53" si="10">D44+F44</f>
        <v>-98880.851933594808</v>
      </c>
      <c r="G45" s="61"/>
      <c r="H45" s="61">
        <f>$H$26+SUM($N$24:$N$26)</f>
        <v>-1016.4945664846996</v>
      </c>
      <c r="I45" s="61"/>
      <c r="J45" s="61">
        <f t="shared" ref="J45" si="11">F45+H45</f>
        <v>-99897.346500079511</v>
      </c>
      <c r="K45" s="62"/>
      <c r="L45" s="63">
        <v>3.8416666666666668E-3</v>
      </c>
      <c r="M45" s="65"/>
      <c r="N45" s="61">
        <f t="shared" si="8"/>
        <v>-383.77230613780546</v>
      </c>
      <c r="O45" s="61"/>
      <c r="P45" s="61"/>
      <c r="Q45" s="61"/>
      <c r="R45" s="61">
        <f>SUM($D$18:D45)+SUM($N$18:N45)</f>
        <v>-105734.0432505053</v>
      </c>
      <c r="T45" s="27">
        <v>3</v>
      </c>
    </row>
    <row r="46" spans="2:20" ht="15.75">
      <c r="B46" s="60">
        <f t="shared" si="9"/>
        <v>43556</v>
      </c>
      <c r="C46" s="30"/>
      <c r="D46" s="61">
        <v>0</v>
      </c>
      <c r="E46" s="62"/>
      <c r="F46" s="61">
        <f t="shared" si="10"/>
        <v>-98880.851933594808</v>
      </c>
      <c r="G46" s="61"/>
      <c r="H46" s="61">
        <f>$H$31+SUM($N$29:$N$31)</f>
        <v>-2065.4167047355345</v>
      </c>
      <c r="I46" s="61"/>
      <c r="J46" s="61">
        <f>F46+H46</f>
        <v>-100946.26863833034</v>
      </c>
      <c r="K46" s="62"/>
      <c r="L46" s="63">
        <v>3.8416666666666668E-3</v>
      </c>
      <c r="M46" s="65"/>
      <c r="N46" s="61">
        <f t="shared" si="8"/>
        <v>-387.80191535225242</v>
      </c>
      <c r="O46" s="61"/>
      <c r="P46" s="61"/>
      <c r="Q46" s="61"/>
      <c r="R46" s="61">
        <f>SUM($D$18:D46)+SUM($N$18:N46)</f>
        <v>-106121.84516585755</v>
      </c>
      <c r="T46" s="27">
        <v>4</v>
      </c>
    </row>
    <row r="47" spans="2:20" ht="15.75">
      <c r="B47" s="60">
        <f t="shared" si="9"/>
        <v>43586</v>
      </c>
      <c r="C47" s="30"/>
      <c r="D47" s="61">
        <v>0</v>
      </c>
      <c r="E47" s="62"/>
      <c r="F47" s="61">
        <f t="shared" si="10"/>
        <v>-98880.851933594808</v>
      </c>
      <c r="G47" s="61"/>
      <c r="H47" s="61">
        <f>$H$31+SUM($N$29:$N$31)</f>
        <v>-2065.4167047355345</v>
      </c>
      <c r="I47" s="61"/>
      <c r="J47" s="61">
        <f t="shared" ref="J47:J48" si="12">F47+H47</f>
        <v>-100946.26863833034</v>
      </c>
      <c r="K47" s="62"/>
      <c r="L47" s="63">
        <v>3.8416666666666668E-3</v>
      </c>
      <c r="M47" s="65"/>
      <c r="N47" s="61">
        <f t="shared" si="8"/>
        <v>-387.80191535225242</v>
      </c>
      <c r="O47" s="61"/>
      <c r="P47" s="61"/>
      <c r="Q47" s="61"/>
      <c r="R47" s="61">
        <f>SUM($D$18:D47)+SUM($N$18:N47)</f>
        <v>-106509.64708120981</v>
      </c>
      <c r="T47" s="27">
        <v>5</v>
      </c>
    </row>
    <row r="48" spans="2:20" ht="15.75">
      <c r="B48" s="60">
        <f t="shared" si="9"/>
        <v>43617</v>
      </c>
      <c r="C48" s="30"/>
      <c r="D48" s="61">
        <v>0</v>
      </c>
      <c r="E48" s="62"/>
      <c r="F48" s="61">
        <f t="shared" si="10"/>
        <v>-98880.851933594808</v>
      </c>
      <c r="G48" s="61"/>
      <c r="H48" s="61">
        <f>$H$31+SUM($N$29:$N$31)</f>
        <v>-2065.4167047355345</v>
      </c>
      <c r="I48" s="61"/>
      <c r="J48" s="61">
        <f t="shared" si="12"/>
        <v>-100946.26863833034</v>
      </c>
      <c r="K48" s="62"/>
      <c r="L48" s="63">
        <v>3.8416666666666668E-3</v>
      </c>
      <c r="M48" s="65"/>
      <c r="N48" s="61">
        <f t="shared" si="8"/>
        <v>-387.80191535225242</v>
      </c>
      <c r="O48" s="61"/>
      <c r="P48" s="61"/>
      <c r="Q48" s="61"/>
      <c r="R48" s="61">
        <f>SUM($D$18:D48)+SUM($N$18:N48)</f>
        <v>-106897.44899656206</v>
      </c>
      <c r="T48" s="27">
        <v>6</v>
      </c>
    </row>
    <row r="49" spans="2:20" ht="15.75">
      <c r="B49" s="60">
        <f t="shared" si="9"/>
        <v>43647</v>
      </c>
      <c r="C49" s="30"/>
      <c r="D49" s="61">
        <v>0</v>
      </c>
      <c r="E49" s="62"/>
      <c r="F49" s="61">
        <f t="shared" si="10"/>
        <v>-98880.851933594808</v>
      </c>
      <c r="G49" s="61"/>
      <c r="H49" s="61">
        <f>$H$34+SUM($N$32:$N$34)</f>
        <v>-3196.0149134848343</v>
      </c>
      <c r="I49" s="61"/>
      <c r="J49" s="61">
        <f>F49+H49</f>
        <v>-102076.86684707964</v>
      </c>
      <c r="K49" s="62"/>
      <c r="L49" s="63">
        <v>3.8416666666666668E-3</v>
      </c>
      <c r="M49" s="65"/>
      <c r="N49" s="61">
        <f t="shared" si="8"/>
        <v>-392.14529680419764</v>
      </c>
      <c r="O49" s="61"/>
      <c r="P49" s="61"/>
      <c r="Q49" s="61"/>
      <c r="R49" s="61">
        <f>SUM($D$18:D49)+SUM($N$18:N49)</f>
        <v>-107289.59429336626</v>
      </c>
      <c r="T49" s="27">
        <v>7</v>
      </c>
    </row>
    <row r="50" spans="2:20" ht="15.75">
      <c r="B50" s="60">
        <f t="shared" si="9"/>
        <v>43678</v>
      </c>
      <c r="C50" s="30"/>
      <c r="D50" s="61">
        <v>0</v>
      </c>
      <c r="E50" s="62"/>
      <c r="F50" s="61">
        <f t="shared" si="10"/>
        <v>-98880.851933594808</v>
      </c>
      <c r="G50" s="61"/>
      <c r="H50" s="61">
        <f>$H$34+SUM($N$32:$N$34)</f>
        <v>-3196.0149134848343</v>
      </c>
      <c r="I50" s="61"/>
      <c r="J50" s="61">
        <f t="shared" ref="J50:J51" si="13">F50+H50</f>
        <v>-102076.86684707964</v>
      </c>
      <c r="K50" s="62"/>
      <c r="L50" s="63">
        <v>3.8416666666666668E-3</v>
      </c>
      <c r="M50" s="65"/>
      <c r="N50" s="61">
        <f t="shared" si="8"/>
        <v>-392.14529680419764</v>
      </c>
      <c r="O50" s="61"/>
      <c r="P50" s="61"/>
      <c r="Q50" s="61"/>
      <c r="R50" s="61">
        <f>SUM($D$18:D50)+SUM($N$18:N50)</f>
        <v>-107681.73959017046</v>
      </c>
      <c r="T50" s="27">
        <v>8</v>
      </c>
    </row>
    <row r="51" spans="2:20" ht="15.75">
      <c r="B51" s="60">
        <f t="shared" si="9"/>
        <v>43709</v>
      </c>
      <c r="C51" s="30"/>
      <c r="D51" s="61">
        <v>0</v>
      </c>
      <c r="E51" s="62"/>
      <c r="F51" s="61">
        <f t="shared" si="10"/>
        <v>-98880.851933594808</v>
      </c>
      <c r="G51" s="61"/>
      <c r="H51" s="61">
        <f>$H$34+SUM($N$32:$N$34)</f>
        <v>-3196.0149134848343</v>
      </c>
      <c r="I51" s="61"/>
      <c r="J51" s="61">
        <f t="shared" si="13"/>
        <v>-102076.86684707964</v>
      </c>
      <c r="K51" s="62"/>
      <c r="L51" s="63">
        <v>3.8416666666666668E-3</v>
      </c>
      <c r="M51" s="65"/>
      <c r="N51" s="61">
        <f t="shared" si="8"/>
        <v>-392.14529680419764</v>
      </c>
      <c r="O51" s="61"/>
      <c r="P51" s="61"/>
      <c r="Q51" s="61"/>
      <c r="R51" s="61">
        <f>SUM($D$18:D51)+SUM($N$18:N51)</f>
        <v>-108073.88488697466</v>
      </c>
      <c r="T51" s="27">
        <v>9</v>
      </c>
    </row>
    <row r="52" spans="2:20" ht="15.75">
      <c r="B52" s="60">
        <f t="shared" si="9"/>
        <v>43739</v>
      </c>
      <c r="C52" s="30"/>
      <c r="D52" s="61">
        <v>0</v>
      </c>
      <c r="E52" s="62"/>
      <c r="F52" s="61">
        <f t="shared" si="10"/>
        <v>-98880.851933594808</v>
      </c>
      <c r="G52" s="61"/>
      <c r="H52" s="61">
        <f>$H$37+SUM($N$35:$N$37)</f>
        <v>-4410.7296289650822</v>
      </c>
      <c r="I52" s="61"/>
      <c r="J52" s="61">
        <f>F52+H52</f>
        <v>-103291.58156255989</v>
      </c>
      <c r="K52" s="62"/>
      <c r="L52" s="63">
        <v>3.8416666666666668E-3</v>
      </c>
      <c r="M52" s="65"/>
      <c r="N52" s="61">
        <f t="shared" si="8"/>
        <v>-396.8118258361676</v>
      </c>
      <c r="O52" s="61"/>
      <c r="P52" s="61"/>
      <c r="Q52" s="61"/>
      <c r="R52" s="61">
        <f>SUM($D$18:D52)+SUM($N$18:N52)</f>
        <v>-108470.69671281082</v>
      </c>
      <c r="T52" s="27">
        <v>10</v>
      </c>
    </row>
    <row r="53" spans="2:20" ht="15.75">
      <c r="B53" s="60">
        <f t="shared" si="9"/>
        <v>43770</v>
      </c>
      <c r="C53" s="30"/>
      <c r="D53" s="61">
        <v>0</v>
      </c>
      <c r="E53" s="62"/>
      <c r="F53" s="61">
        <f t="shared" si="10"/>
        <v>-98880.851933594808</v>
      </c>
      <c r="G53" s="61"/>
      <c r="H53" s="61">
        <f>$H$37+SUM($N$35:$N$37)</f>
        <v>-4410.7296289650822</v>
      </c>
      <c r="I53" s="61"/>
      <c r="J53" s="61">
        <f>F53+H53</f>
        <v>-103291.58156255989</v>
      </c>
      <c r="K53" s="62"/>
      <c r="L53" s="63">
        <v>3.8416666666666668E-3</v>
      </c>
      <c r="M53" s="65"/>
      <c r="N53" s="61">
        <f t="shared" si="8"/>
        <v>-396.8118258361676</v>
      </c>
      <c r="O53" s="61"/>
      <c r="P53" s="61"/>
      <c r="Q53" s="61"/>
      <c r="R53" s="61">
        <f>SUM($D$18:D53)+SUM($N$18:N53)</f>
        <v>-108867.50853864699</v>
      </c>
      <c r="T53" s="27">
        <v>11</v>
      </c>
    </row>
    <row r="54" spans="2:20" ht="15.75">
      <c r="B54" s="60">
        <f t="shared" si="9"/>
        <v>43800</v>
      </c>
      <c r="C54" s="30"/>
      <c r="D54" s="61">
        <v>0</v>
      </c>
      <c r="E54" s="62"/>
      <c r="F54" s="61">
        <f>D53+F53</f>
        <v>-98880.851933594808</v>
      </c>
      <c r="G54" s="61"/>
      <c r="H54" s="61">
        <f>$H$37+SUM($N$35:$N$37)</f>
        <v>-4410.7296289650822</v>
      </c>
      <c r="I54" s="61"/>
      <c r="J54" s="61">
        <f>F54+H54</f>
        <v>-103291.58156255989</v>
      </c>
      <c r="K54" s="62"/>
      <c r="L54" s="63">
        <v>3.8416666666666668E-3</v>
      </c>
      <c r="M54" s="65"/>
      <c r="N54" s="61">
        <f t="shared" si="8"/>
        <v>-396.8118258361676</v>
      </c>
      <c r="O54" s="66"/>
      <c r="P54" s="61"/>
      <c r="Q54" s="61"/>
      <c r="R54" s="61">
        <f>SUM($D$18:D54)+SUM($N$18:N54)</f>
        <v>-109264.32036448317</v>
      </c>
      <c r="T54" s="27">
        <v>12</v>
      </c>
    </row>
    <row r="55" spans="2:20" ht="15.75">
      <c r="B55" s="30"/>
      <c r="C55" s="30"/>
      <c r="D55" s="61"/>
      <c r="E55" s="43"/>
      <c r="F55" s="61"/>
      <c r="G55" s="61"/>
      <c r="H55" s="61"/>
      <c r="I55" s="61"/>
      <c r="J55" s="61"/>
      <c r="K55" s="43"/>
      <c r="L55" s="44"/>
      <c r="M55" s="30"/>
      <c r="N55" s="71"/>
      <c r="O55" s="71"/>
      <c r="P55" s="61"/>
      <c r="Q55" s="61"/>
      <c r="R55" s="61"/>
      <c r="T55" s="72"/>
    </row>
    <row r="56" spans="2:20" ht="15.75">
      <c r="B56" s="73" t="s">
        <v>36</v>
      </c>
      <c r="C56" s="30"/>
      <c r="D56" s="61"/>
      <c r="E56" s="62"/>
      <c r="F56" s="61"/>
      <c r="G56" s="61"/>
      <c r="H56" s="61"/>
      <c r="I56" s="61"/>
      <c r="J56" s="61"/>
      <c r="K56" s="62"/>
      <c r="L56" s="44"/>
      <c r="M56" s="30"/>
      <c r="N56" s="74"/>
      <c r="O56" s="74"/>
      <c r="P56" s="61"/>
      <c r="Q56" s="61"/>
      <c r="R56" s="61"/>
    </row>
    <row r="57" spans="2:20" ht="15.75">
      <c r="B57" s="75" t="s">
        <v>37</v>
      </c>
      <c r="C57" s="30"/>
      <c r="D57" s="61"/>
      <c r="E57" s="62"/>
      <c r="F57" s="61"/>
      <c r="G57" s="61"/>
      <c r="H57" s="61"/>
      <c r="I57" s="61"/>
      <c r="J57" s="61"/>
      <c r="K57" s="62"/>
      <c r="L57" s="44"/>
      <c r="M57" s="30"/>
      <c r="N57" s="74"/>
      <c r="O57" s="74"/>
      <c r="P57" s="61"/>
      <c r="Q57" s="61"/>
      <c r="R57" s="61"/>
    </row>
    <row r="58" spans="2:20" ht="15.75">
      <c r="B58" s="60">
        <f t="shared" ref="B58:B69" si="14">DATE($J$11,T58,1)</f>
        <v>43831</v>
      </c>
      <c r="C58" s="30"/>
      <c r="D58" s="61">
        <v>0</v>
      </c>
      <c r="E58" s="76"/>
      <c r="F58" s="61">
        <f>D40+F40</f>
        <v>-98880.851933594808</v>
      </c>
      <c r="G58" s="69"/>
      <c r="H58" s="61">
        <f>$H$40+SUM($N$38:$N$40)</f>
        <v>-5701.8743984970806</v>
      </c>
      <c r="I58" s="61"/>
      <c r="J58" s="61">
        <f>F58+H58</f>
        <v>-104582.72633209189</v>
      </c>
      <c r="K58" s="43"/>
      <c r="L58" s="63">
        <v>3.8416666666666668E-3</v>
      </c>
      <c r="M58" s="30"/>
      <c r="N58" s="61">
        <f t="shared" ref="N58:N69" si="15">J58*L58</f>
        <v>-401.77197365911968</v>
      </c>
      <c r="O58" s="61"/>
      <c r="P58" s="61">
        <f>PMT(L58,12,$R$40)</f>
        <v>8934.3834445022312</v>
      </c>
      <c r="Q58" s="61"/>
      <c r="R58" s="61">
        <f>SUM($D$18:D58)+SUM($N$18:N58)+SUM($P$58:P58)</f>
        <v>-100731.70889364004</v>
      </c>
      <c r="T58" s="27">
        <v>1</v>
      </c>
    </row>
    <row r="59" spans="2:20" ht="15.75">
      <c r="B59" s="60">
        <f t="shared" si="14"/>
        <v>43862</v>
      </c>
      <c r="C59" s="30"/>
      <c r="D59" s="61">
        <v>0</v>
      </c>
      <c r="E59" s="43"/>
      <c r="F59" s="61">
        <f>D58+F58</f>
        <v>-98880.851933594808</v>
      </c>
      <c r="G59" s="61"/>
      <c r="H59" s="61">
        <f>$H$40+SUM($N$38:$N$40)</f>
        <v>-5701.8743984970806</v>
      </c>
      <c r="I59" s="61"/>
      <c r="J59" s="61">
        <f>R58</f>
        <v>-100731.70889364004</v>
      </c>
      <c r="K59" s="43"/>
      <c r="L59" s="63">
        <v>3.8416666666666668E-3</v>
      </c>
      <c r="M59" s="30"/>
      <c r="N59" s="61">
        <f t="shared" si="15"/>
        <v>-386.97764833306718</v>
      </c>
      <c r="O59" s="61"/>
      <c r="P59" s="61">
        <f t="shared" ref="P59:P69" si="16">PMT(L59,12,$R$40)</f>
        <v>8934.3834445022312</v>
      </c>
      <c r="Q59" s="61"/>
      <c r="R59" s="61">
        <f>SUM($D$18:D59)+SUM($N$18:N59)+SUM($P$58:P59)</f>
        <v>-92184.303097470882</v>
      </c>
      <c r="T59" s="27">
        <v>2</v>
      </c>
    </row>
    <row r="60" spans="2:20" ht="15.75">
      <c r="B60" s="60">
        <f t="shared" si="14"/>
        <v>43891</v>
      </c>
      <c r="C60" s="30"/>
      <c r="D60" s="61">
        <v>0</v>
      </c>
      <c r="E60" s="43"/>
      <c r="F60" s="61">
        <f t="shared" ref="F60:F68" si="17">D59+F59</f>
        <v>-98880.851933594808</v>
      </c>
      <c r="G60" s="61"/>
      <c r="H60" s="61">
        <f>$H$40+SUM($N$38:$N$40)</f>
        <v>-5701.8743984970806</v>
      </c>
      <c r="I60" s="61"/>
      <c r="J60" s="61">
        <f t="shared" ref="J60:J69" si="18">R59</f>
        <v>-92184.303097470882</v>
      </c>
      <c r="K60" s="43"/>
      <c r="L60" s="63">
        <v>3.8416666666666668E-3</v>
      </c>
      <c r="M60" s="30"/>
      <c r="N60" s="61">
        <f t="shared" si="15"/>
        <v>-354.14136439945065</v>
      </c>
      <c r="O60" s="61"/>
      <c r="P60" s="61">
        <f t="shared" si="16"/>
        <v>8934.3834445022312</v>
      </c>
      <c r="Q60" s="61"/>
      <c r="R60" s="61">
        <f>SUM($D$18:D60)+SUM($N$18:N60)+SUM($P$58:P60)</f>
        <v>-83604.061017368105</v>
      </c>
      <c r="T60" s="27">
        <v>3</v>
      </c>
    </row>
    <row r="61" spans="2:20" ht="15.75">
      <c r="B61" s="60">
        <f t="shared" si="14"/>
        <v>43922</v>
      </c>
      <c r="C61" s="30"/>
      <c r="D61" s="61">
        <v>0</v>
      </c>
      <c r="E61" s="43"/>
      <c r="F61" s="61">
        <f t="shared" si="17"/>
        <v>-98880.851933594808</v>
      </c>
      <c r="G61" s="61"/>
      <c r="H61" s="61">
        <f>$H$60+SUM($N$58:$N$60)</f>
        <v>-6844.7653848887185</v>
      </c>
      <c r="I61" s="61"/>
      <c r="J61" s="61">
        <f t="shared" si="18"/>
        <v>-83604.061017368105</v>
      </c>
      <c r="K61" s="43"/>
      <c r="L61" s="63">
        <v>3.8416666666666668E-3</v>
      </c>
      <c r="M61" s="30"/>
      <c r="N61" s="61">
        <f t="shared" si="15"/>
        <v>-321.17893440838913</v>
      </c>
      <c r="O61" s="61"/>
      <c r="P61" s="61">
        <f t="shared" si="16"/>
        <v>8934.3834445022312</v>
      </c>
      <c r="Q61" s="61"/>
      <c r="R61" s="61">
        <f>SUM($D$18:D61)+SUM($N$18:N61)+SUM($P$58:P61)</f>
        <v>-74990.856507274264</v>
      </c>
      <c r="T61" s="27">
        <v>4</v>
      </c>
    </row>
    <row r="62" spans="2:20" ht="15.75">
      <c r="B62" s="60">
        <f t="shared" si="14"/>
        <v>43952</v>
      </c>
      <c r="C62" s="30"/>
      <c r="D62" s="61">
        <v>0</v>
      </c>
      <c r="E62" s="43"/>
      <c r="F62" s="61">
        <f t="shared" si="17"/>
        <v>-98880.851933594808</v>
      </c>
      <c r="G62" s="61"/>
      <c r="H62" s="61">
        <f>$H$60+SUM($N$58:$N$60)</f>
        <v>-6844.7653848887185</v>
      </c>
      <c r="I62" s="61"/>
      <c r="J62" s="61">
        <f t="shared" si="18"/>
        <v>-74990.856507274264</v>
      </c>
      <c r="K62" s="43"/>
      <c r="L62" s="63">
        <v>3.8416666666666668E-3</v>
      </c>
      <c r="M62" s="30"/>
      <c r="N62" s="61">
        <f t="shared" si="15"/>
        <v>-288.08987374877864</v>
      </c>
      <c r="O62" s="61"/>
      <c r="P62" s="61">
        <f t="shared" si="16"/>
        <v>8934.3834445022312</v>
      </c>
      <c r="Q62" s="61"/>
      <c r="R62" s="61">
        <f>SUM($D$18:D62)+SUM($N$18:N62)+SUM($P$58:P62)</f>
        <v>-66344.562936520815</v>
      </c>
      <c r="T62" s="27">
        <v>5</v>
      </c>
    </row>
    <row r="63" spans="2:20" ht="15.75">
      <c r="B63" s="60">
        <f t="shared" si="14"/>
        <v>43983</v>
      </c>
      <c r="C63" s="33"/>
      <c r="D63" s="61">
        <v>0</v>
      </c>
      <c r="E63" s="43"/>
      <c r="F63" s="61">
        <f t="shared" si="17"/>
        <v>-98880.851933594808</v>
      </c>
      <c r="G63" s="61"/>
      <c r="H63" s="61">
        <f>$H$60+SUM($N$58:$N$60)</f>
        <v>-6844.7653848887185</v>
      </c>
      <c r="I63" s="61"/>
      <c r="J63" s="61">
        <f t="shared" si="18"/>
        <v>-66344.562936520815</v>
      </c>
      <c r="K63" s="43"/>
      <c r="L63" s="63">
        <v>3.8416666666666668E-3</v>
      </c>
      <c r="M63" s="30"/>
      <c r="N63" s="61">
        <f t="shared" si="15"/>
        <v>-254.8736959478008</v>
      </c>
      <c r="O63" s="61"/>
      <c r="P63" s="61">
        <f t="shared" si="16"/>
        <v>8934.3834445022312</v>
      </c>
      <c r="Q63" s="61"/>
      <c r="R63" s="61">
        <f>SUM($D$18:D63)+SUM($N$18:N63)+SUM($P$58:P63)</f>
        <v>-57665.053187966383</v>
      </c>
      <c r="T63" s="27">
        <v>6</v>
      </c>
    </row>
    <row r="64" spans="2:20" ht="15.75">
      <c r="B64" s="60">
        <f t="shared" si="14"/>
        <v>44013</v>
      </c>
      <c r="C64" s="30"/>
      <c r="D64" s="61">
        <v>0</v>
      </c>
      <c r="E64" s="43"/>
      <c r="F64" s="61">
        <f t="shared" si="17"/>
        <v>-98880.851933594808</v>
      </c>
      <c r="G64" s="61"/>
      <c r="H64" s="61">
        <f>$H$63+SUM($N$61:$N$63)</f>
        <v>-7708.9078889936873</v>
      </c>
      <c r="I64" s="61"/>
      <c r="J64" s="61">
        <f t="shared" si="18"/>
        <v>-57665.053187966383</v>
      </c>
      <c r="K64" s="43"/>
      <c r="L64" s="63">
        <v>3.8416666666666668E-3</v>
      </c>
      <c r="M64" s="30"/>
      <c r="N64" s="61">
        <f t="shared" si="15"/>
        <v>-221.52991266377086</v>
      </c>
      <c r="O64" s="61"/>
      <c r="P64" s="61">
        <f t="shared" si="16"/>
        <v>8934.3834445022312</v>
      </c>
      <c r="Q64" s="61"/>
      <c r="R64" s="61">
        <f>SUM($D$18:D64)+SUM($N$18:N64)+SUM($P$58:P64)</f>
        <v>-48952.199656127923</v>
      </c>
      <c r="T64" s="27">
        <v>7</v>
      </c>
    </row>
    <row r="65" spans="2:20" ht="15.75">
      <c r="B65" s="60">
        <f t="shared" si="14"/>
        <v>44044</v>
      </c>
      <c r="C65" s="30"/>
      <c r="D65" s="61">
        <v>0</v>
      </c>
      <c r="E65" s="43"/>
      <c r="F65" s="61">
        <f t="shared" si="17"/>
        <v>-98880.851933594808</v>
      </c>
      <c r="G65" s="61"/>
      <c r="H65" s="61">
        <f>$H$63+SUM($N$61:$N$63)</f>
        <v>-7708.9078889936873</v>
      </c>
      <c r="I65" s="61"/>
      <c r="J65" s="61">
        <f t="shared" si="18"/>
        <v>-48952.199656127923</v>
      </c>
      <c r="K65" s="43"/>
      <c r="L65" s="63">
        <v>3.8416666666666668E-3</v>
      </c>
      <c r="M65" s="30"/>
      <c r="N65" s="61">
        <f t="shared" si="15"/>
        <v>-188.05803367895811</v>
      </c>
      <c r="O65" s="61"/>
      <c r="P65" s="61">
        <f t="shared" si="16"/>
        <v>8934.3834445022312</v>
      </c>
      <c r="Q65" s="61"/>
      <c r="R65" s="61">
        <f>SUM($D$18:D65)+SUM($N$18:N65)+SUM($P$58:P65)</f>
        <v>-40205.874245304643</v>
      </c>
      <c r="T65" s="27">
        <v>8</v>
      </c>
    </row>
    <row r="66" spans="2:20" ht="15.75">
      <c r="B66" s="60">
        <f t="shared" si="14"/>
        <v>44075</v>
      </c>
      <c r="C66" s="30"/>
      <c r="D66" s="61">
        <v>0</v>
      </c>
      <c r="E66" s="43"/>
      <c r="F66" s="61">
        <f t="shared" si="17"/>
        <v>-98880.851933594808</v>
      </c>
      <c r="G66" s="61"/>
      <c r="H66" s="61">
        <f>$H$63+SUM($N$61:$N$63)</f>
        <v>-7708.9078889936873</v>
      </c>
      <c r="I66" s="61"/>
      <c r="J66" s="61">
        <f t="shared" si="18"/>
        <v>-40205.874245304643</v>
      </c>
      <c r="K66" s="43"/>
      <c r="L66" s="63">
        <v>3.8416666666666668E-3</v>
      </c>
      <c r="M66" s="30"/>
      <c r="N66" s="61">
        <f t="shared" si="15"/>
        <v>-154.45756689237868</v>
      </c>
      <c r="O66" s="61"/>
      <c r="P66" s="61">
        <f t="shared" si="16"/>
        <v>8934.3834445022312</v>
      </c>
      <c r="Q66" s="61"/>
      <c r="R66" s="61">
        <f>SUM($D$18:D66)+SUM($N$18:N66)+SUM($P$58:P66)</f>
        <v>-31425.948367694786</v>
      </c>
      <c r="T66" s="27">
        <v>9</v>
      </c>
    </row>
    <row r="67" spans="2:20" ht="15.75">
      <c r="B67" s="60">
        <f t="shared" si="14"/>
        <v>44105</v>
      </c>
      <c r="C67" s="30"/>
      <c r="D67" s="61">
        <v>0</v>
      </c>
      <c r="E67" s="43"/>
      <c r="F67" s="61">
        <f t="shared" si="17"/>
        <v>-98880.851933594808</v>
      </c>
      <c r="G67" s="61"/>
      <c r="H67" s="61">
        <f>$H$66+SUM($N$64:$N$66)</f>
        <v>-8272.9534022287953</v>
      </c>
      <c r="I67" s="61"/>
      <c r="J67" s="61">
        <f t="shared" si="18"/>
        <v>-31425.948367694786</v>
      </c>
      <c r="K67" s="43"/>
      <c r="L67" s="63">
        <v>3.8416666666666668E-3</v>
      </c>
      <c r="M67" s="30"/>
      <c r="N67" s="61">
        <f t="shared" si="15"/>
        <v>-120.72801831256081</v>
      </c>
      <c r="O67" s="61"/>
      <c r="P67" s="61">
        <f t="shared" si="16"/>
        <v>8934.3834445022312</v>
      </c>
      <c r="Q67" s="61"/>
      <c r="R67" s="61">
        <f>SUM($D$18:D67)+SUM($N$18:N67)+SUM($P$58:P67)</f>
        <v>-22612.292941505119</v>
      </c>
      <c r="T67" s="27">
        <v>10</v>
      </c>
    </row>
    <row r="68" spans="2:20" ht="15.75">
      <c r="B68" s="60">
        <f t="shared" si="14"/>
        <v>44136</v>
      </c>
      <c r="C68" s="30"/>
      <c r="D68" s="61">
        <v>0</v>
      </c>
      <c r="E68" s="43"/>
      <c r="F68" s="61">
        <f t="shared" si="17"/>
        <v>-98880.851933594808</v>
      </c>
      <c r="G68" s="61"/>
      <c r="H68" s="61">
        <f>$H$66+SUM($N$64:$N$66)</f>
        <v>-8272.9534022287953</v>
      </c>
      <c r="I68" s="61"/>
      <c r="J68" s="61">
        <f t="shared" si="18"/>
        <v>-22612.292941505119</v>
      </c>
      <c r="K68" s="43"/>
      <c r="L68" s="63">
        <v>3.8416666666666668E-3</v>
      </c>
      <c r="M68" s="30"/>
      <c r="N68" s="61">
        <f t="shared" si="15"/>
        <v>-86.86889205028217</v>
      </c>
      <c r="O68" s="61"/>
      <c r="P68" s="61">
        <f t="shared" si="16"/>
        <v>8934.3834445022312</v>
      </c>
      <c r="Q68" s="61"/>
      <c r="R68" s="61">
        <f>SUM($D$18:D68)+SUM($N$18:N68)+SUM($P$58:P68)</f>
        <v>-13764.778389053157</v>
      </c>
      <c r="S68" s="77"/>
      <c r="T68" s="27">
        <v>11</v>
      </c>
    </row>
    <row r="69" spans="2:20" ht="16.5" thickBot="1">
      <c r="B69" s="78">
        <f t="shared" si="14"/>
        <v>44166</v>
      </c>
      <c r="C69" s="79"/>
      <c r="D69" s="80">
        <v>0</v>
      </c>
      <c r="E69" s="47"/>
      <c r="F69" s="80">
        <f>D68+F68</f>
        <v>-98880.851933594808</v>
      </c>
      <c r="G69" s="80"/>
      <c r="H69" s="80">
        <f>$H$66+SUM($N$64:$N$66)</f>
        <v>-8272.9534022287953</v>
      </c>
      <c r="I69" s="80"/>
      <c r="J69" s="80">
        <f t="shared" si="18"/>
        <v>-13764.778389053157</v>
      </c>
      <c r="K69" s="47"/>
      <c r="L69" s="81">
        <v>3.8416666666666668E-3</v>
      </c>
      <c r="M69" s="79"/>
      <c r="N69" s="80">
        <f t="shared" si="15"/>
        <v>-52.879690311279212</v>
      </c>
      <c r="O69" s="80"/>
      <c r="P69" s="80">
        <f t="shared" si="16"/>
        <v>8934.3834445022312</v>
      </c>
      <c r="Q69" s="80"/>
      <c r="R69" s="80">
        <f>SUM($D$18:D69)+SUM($N$18:N69)+SUM($P$58:P69)</f>
        <v>-4883.2746348622022</v>
      </c>
      <c r="T69" s="27">
        <v>12</v>
      </c>
    </row>
    <row r="70" spans="2:20" ht="15.75">
      <c r="B70" s="30"/>
      <c r="C70" s="30"/>
      <c r="D70" s="43"/>
      <c r="E70" s="43"/>
      <c r="F70" s="43"/>
      <c r="G70" s="43"/>
      <c r="H70" s="43"/>
      <c r="I70" s="43"/>
      <c r="J70" s="43"/>
      <c r="K70" s="43"/>
      <c r="L70" s="30"/>
      <c r="M70" s="30"/>
      <c r="N70" s="61"/>
      <c r="O70" s="61"/>
      <c r="P70" s="61"/>
      <c r="Q70" s="61"/>
      <c r="R70" s="61"/>
    </row>
    <row r="71" spans="2:20" ht="15"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70"/>
      <c r="O71" s="70"/>
      <c r="P71" s="70"/>
      <c r="Q71" s="70"/>
      <c r="R71" s="70"/>
    </row>
    <row r="72" spans="2:20" ht="15.75">
      <c r="B72" s="83" t="s">
        <v>38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  <c r="O72" s="85"/>
      <c r="P72" s="86">
        <f>(SUM(P58:P69)*-1)</f>
        <v>-107212.6013340268</v>
      </c>
      <c r="Q72" s="70"/>
      <c r="R72" s="70"/>
    </row>
    <row r="73" spans="2:20" ht="15.75">
      <c r="B73" s="87" t="s">
        <v>39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9"/>
      <c r="O73" s="89"/>
      <c r="P73" s="90">
        <f>+F10</f>
        <v>-98880.851933594822</v>
      </c>
      <c r="Q73" s="70"/>
      <c r="R73" s="70"/>
    </row>
    <row r="74" spans="2:20" ht="15.75">
      <c r="B74" s="91" t="s">
        <v>40</v>
      </c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3"/>
      <c r="O74" s="93"/>
      <c r="P74" s="94">
        <f>+(P72-P73)</f>
        <v>-8331.7494004319742</v>
      </c>
      <c r="Q74" s="70"/>
      <c r="R74" s="70"/>
    </row>
    <row r="75" spans="2:20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2:20" ht="15.75" customHeight="1">
      <c r="B76" s="108" t="s">
        <v>41</v>
      </c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96"/>
      <c r="R76" s="96"/>
    </row>
    <row r="77" spans="2:20" ht="12.75" customHeight="1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95"/>
      <c r="R77" s="95"/>
    </row>
    <row r="78" spans="2:20" ht="38.25" customHeight="1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97"/>
      <c r="R78" s="97"/>
    </row>
    <row r="80" spans="2:20" ht="22.5" customHeight="1">
      <c r="B80" s="109" t="s">
        <v>42</v>
      </c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</row>
    <row r="83" spans="2:2" ht="15.75">
      <c r="B83" s="56"/>
    </row>
  </sheetData>
  <mergeCells count="5">
    <mergeCell ref="B4:R4"/>
    <mergeCell ref="B5:R5"/>
    <mergeCell ref="B6:R6"/>
    <mergeCell ref="B76:P78"/>
    <mergeCell ref="B80:P80"/>
  </mergeCells>
  <pageMargins left="0.45" right="0.45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CAB64AA5-9137-401D-A356-03FC81D542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PSO Base Plan Refund</vt:lpstr>
      <vt:lpstr>2017 Refund</vt:lpstr>
      <vt:lpstr>2017 Interest Calculation</vt:lpstr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s177040</dc:creator>
  <cp:lastModifiedBy>s177040</cp:lastModifiedBy>
  <cp:lastPrinted>2019-05-28T15:30:13Z</cp:lastPrinted>
  <dcterms:created xsi:type="dcterms:W3CDTF">2019-05-22T14:00:06Z</dcterms:created>
  <dcterms:modified xsi:type="dcterms:W3CDTF">2019-05-28T15:30:22Z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c591ae2f-ae3d-4cdc-a478-5066f4dd747c</vt:lpwstr>
  </property>
  <property fmtid="{D5CDD505-2E9C-101B-9397-08002B2CF9AE}" pid="3" name="bjDocumentSecurityLabel">
    <vt:lpwstr>Uncategorized</vt:lpwstr>
  </property>
  <property fmtid="{D5CDD505-2E9C-101B-9397-08002B2CF9AE}" pid="4" name="bjSaver">
    <vt:lpwstr>clRxCTTKA7z930TtRLwKph96GxWYXtbn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